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11580" windowHeight="6495" tabRatio="598" activeTab="3"/>
  </bookViews>
  <sheets>
    <sheet name="Income Statement" sheetId="1" r:id="rId1"/>
    <sheet name="Balance Sheet" sheetId="2" r:id="rId2"/>
    <sheet name="Group 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<sst xmlns="http://schemas.openxmlformats.org/spreadsheetml/2006/main" count="175" uniqueCount="141">
  <si>
    <t>Taxation</t>
  </si>
  <si>
    <t>RM'000</t>
  </si>
  <si>
    <t>CURRENT YEAR QUARTER</t>
  </si>
  <si>
    <t>PRECEDING YEAR CORRESPONDING PERIOD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</si>
  <si>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</si>
  <si>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</si>
  <si>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</si>
  <si>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</si>
  <si>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</si>
  <si>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</si>
  <si>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</si>
  <si>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</si>
  <si>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</si>
  <si>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</si>
  <si>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</si>
  <si>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</si>
  <si>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</si>
  <si>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</si>
  <si>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</si>
  <si>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Investing Activities</t>
  </si>
  <si>
    <t>Financing Activities</t>
  </si>
  <si>
    <t>Total</t>
  </si>
  <si>
    <t>Operating profit</t>
  </si>
  <si>
    <t>Operating Activities</t>
  </si>
  <si>
    <t>Taxes paid</t>
  </si>
  <si>
    <t>Share of profits of associated company</t>
  </si>
  <si>
    <t>Repayment of bank borrowings</t>
  </si>
  <si>
    <t>Adjustments for non-cash items</t>
  </si>
  <si>
    <t>Net changes in working capital</t>
  </si>
  <si>
    <t>Others</t>
  </si>
  <si>
    <t>Operating expenses</t>
  </si>
  <si>
    <t>Other operating income</t>
  </si>
  <si>
    <t>CUMULATIVE PERIOD</t>
  </si>
  <si>
    <t>INDIVIDUAL PERIOD</t>
  </si>
  <si>
    <t>As at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</si>
  <si>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</si>
  <si>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</si>
  <si>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</si>
  <si>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</si>
  <si>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</si>
  <si>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</si>
  <si>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PROPERTY DEVELOPMENT PROJECTS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</si>
  <si>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</si>
  <si>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</si>
  <si>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</si>
  <si>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</si>
  <si>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</si>
  <si>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</si>
  <si>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</si>
  <si>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</si>
  <si>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</si>
  <si>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</si>
  <si>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</si>
  <si>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</si>
  <si>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</si>
  <si>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</si>
  <si>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</si>
  <si>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</si>
  <si>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</si>
  <si>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</si>
  <si>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</si>
  <si>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NET TANGIBLE ASSETS PER SHARE (RM)</t>
  </si>
  <si>
    <r>
      <t xml:space="preserve">GLOMAC BERHAD </t>
    </r>
    <r>
      <rPr>
        <b/>
        <sz val="9"/>
        <rFont val="Times New Roman"/>
        <family val="1"/>
      </rPr>
      <t>(110532-M)</t>
    </r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</si>
  <si>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</si>
  <si>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</si>
  <si>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</si>
  <si>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</si>
  <si>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</si>
  <si>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</si>
  <si>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</si>
  <si>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</si>
  <si>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</si>
  <si>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</si>
  <si>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</si>
  <si>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</si>
  <si>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</si>
  <si>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</si>
  <si>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</si>
  <si>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</si>
  <si>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</si>
  <si>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</si>
  <si>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</si>
  <si>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</si>
  <si>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</si>
  <si>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</si>
  <si>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</si>
  <si>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</si>
  <si>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</si>
  <si>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Bank overdrafts</t>
  </si>
  <si>
    <t>Net cash flows generated from operating activities</t>
  </si>
  <si>
    <t>Dividend paid</t>
  </si>
  <si>
    <t>30/04/03</t>
  </si>
  <si>
    <t>Ended</t>
  </si>
  <si>
    <t>Dividends</t>
  </si>
  <si>
    <t>(This Unaudited Condensed Consolidated Balance Sheet should be read in conjunction with the Annual Financial Statements for the year ended 30 April 2003)</t>
  </si>
  <si>
    <t>(This Unaudited Condensed Consolidated Income Statements should be read in conjunction with the Annual Financial Statements for the year ended 30 April 2003)</t>
  </si>
  <si>
    <t>(The Unaudited Consolidated Cashflow Statements should be read in conjunction with the Annual Financial Statements for the year ended 30 April 2003)</t>
  </si>
  <si>
    <t>At 1 May 2003</t>
  </si>
  <si>
    <t>Fixed deposits, net of amount pledged</t>
  </si>
  <si>
    <t>At 1 May 2002</t>
  </si>
  <si>
    <t>GOODWILL ON CONSOLIDATION</t>
  </si>
  <si>
    <t>Cash and cash equivalents consist of:-</t>
  </si>
  <si>
    <t>Islamic Private Debt Securities</t>
  </si>
  <si>
    <t>NON-CURRENT LIABILITIES</t>
  </si>
  <si>
    <t>Hire Purchase &amp; Lease Creditors</t>
  </si>
  <si>
    <t>Bank Borrowings</t>
  </si>
  <si>
    <t>Deferred Taxation</t>
  </si>
  <si>
    <t>Net cash outflow on acquisition of subsidiary company</t>
  </si>
  <si>
    <t>Proceeds from issuance of Islamic Private Debt Securities</t>
  </si>
  <si>
    <t>Drawdown of bank borrowings</t>
  </si>
  <si>
    <t>(The Unaudited Condensed Consolidated Statement of Changes in Equity should be read in conjunction with the Annual Financial Statements for the year ended 30 April 2003)</t>
  </si>
  <si>
    <t>Non distributable</t>
  </si>
  <si>
    <t>Quarterly Report On Consolidated Results For The Financial Period Ended 30 April 2004.</t>
  </si>
  <si>
    <t>30/04/04</t>
  </si>
  <si>
    <t>UNAUDITED CONDENSED CONSOLIDATED BALANCE SHEET AS AT 30 APRIL 2004</t>
  </si>
  <si>
    <t>FOR THE YEAR ENDED 30 APRIL 2004</t>
  </si>
  <si>
    <t>At 30 April 2004</t>
  </si>
  <si>
    <t>At 30 April 2003</t>
  </si>
  <si>
    <t>Year</t>
  </si>
  <si>
    <t>Exceptional gain</t>
  </si>
  <si>
    <t xml:space="preserve">  - Gain on disposal of</t>
  </si>
  <si>
    <t xml:space="preserve">     investment property</t>
  </si>
  <si>
    <t>DEFERRED TAX ASSETS</t>
  </si>
  <si>
    <t>Issue of ordinary shares:-</t>
  </si>
  <si>
    <t>Issue for cash, net of share issue cost</t>
  </si>
  <si>
    <t>Bonus issue from retained profit</t>
  </si>
  <si>
    <t>Pursuant to ESOS</t>
  </si>
  <si>
    <t>Second and final dividend for 30 April 2003</t>
  </si>
  <si>
    <t>Interim dividend for 30 April 2004</t>
  </si>
  <si>
    <t>Cash and cash equivalents at beginning of year</t>
  </si>
  <si>
    <t>Cash and cash equivalents at end of year</t>
  </si>
  <si>
    <t>*  The net tangible assets per share has have been adjusted for the 49,500,000 bonus shares</t>
  </si>
  <si>
    <t>*  Remark</t>
  </si>
  <si>
    <t>Transfer to Defered Taxation</t>
  </si>
  <si>
    <t>*</t>
  </si>
  <si>
    <t>upon disposal of investment properties</t>
  </si>
  <si>
    <t>The earnings per share have been adjusted for the 49,500,000 bonus shares issued in March 2004 to be in compliance with MASB 13.</t>
  </si>
  <si>
    <t xml:space="preserve">    issued in March 2004 to be in compliance with MASB 13.</t>
  </si>
  <si>
    <t>Proceeds from disposal of investment property</t>
  </si>
  <si>
    <t>Proceeds from issuance of shares</t>
  </si>
  <si>
    <t>Realisation of revaluation surplus to retained earnings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</si>
</sst>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  <numFmt numFmtId="170" formatCode="_(* #,##0.000_);_(* \(#,##0.000\);_(* &quot;-&quot;???_);_(@_)"/>
    <numFmt numFmtId="171" formatCode="_(* #,##0.000_);_(* \(#,##0.000\);_(* &quot;-&quot;??_);_(@_)"/>
  </numFmts>
  <fonts count="2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0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15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vertical="center"/>
    </xf>
    <xf numFmtId="164" fontId="12" fillId="0" borderId="0" xfId="15" applyNumberFormat="1" applyFont="1" applyFill="1" applyBorder="1" applyAlignment="1">
      <alignment vertical="center"/>
    </xf>
    <xf numFmtId="164" fontId="12" fillId="0" borderId="0" xfId="15" applyNumberFormat="1" applyFont="1" applyBorder="1" applyAlignment="1">
      <alignment/>
    </xf>
    <xf numFmtId="164" fontId="12" fillId="0" borderId="1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Border="1" applyAlignment="1">
      <alignment wrapText="1"/>
    </xf>
    <xf numFmtId="164" fontId="12" fillId="0" borderId="0" xfId="15" applyNumberFormat="1" applyFont="1" applyFill="1" applyBorder="1" applyAlignment="1">
      <alignment wrapText="1"/>
    </xf>
    <xf numFmtId="164" fontId="12" fillId="0" borderId="0" xfId="15" applyNumberFormat="1" applyFont="1" applyBorder="1" applyAlignment="1">
      <alignment wrapText="1"/>
    </xf>
    <xf numFmtId="164" fontId="12" fillId="0" borderId="1" xfId="15" applyNumberFormat="1" applyFont="1" applyFill="1" applyBorder="1" applyAlignment="1">
      <alignment wrapText="1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164" fontId="12" fillId="0" borderId="0" xfId="15" applyNumberFormat="1" applyFont="1" applyFill="1" applyBorder="1" applyAlignment="1">
      <alignment vertical="top"/>
    </xf>
    <xf numFmtId="164" fontId="12" fillId="0" borderId="0" xfId="15" applyNumberFormat="1" applyFont="1" applyBorder="1" applyAlignment="1">
      <alignment vertical="top"/>
    </xf>
    <xf numFmtId="164" fontId="12" fillId="0" borderId="1" xfId="15" applyNumberFormat="1" applyFont="1" applyFill="1" applyBorder="1" applyAlignment="1">
      <alignment vertical="top"/>
    </xf>
    <xf numFmtId="164" fontId="12" fillId="0" borderId="0" xfId="15" applyNumberFormat="1" applyFont="1" applyAlignment="1">
      <alignment vertical="top"/>
    </xf>
    <xf numFmtId="0" fontId="12" fillId="0" borderId="0" xfId="0" applyFont="1" applyAlignment="1">
      <alignment vertical="top" wrapText="1"/>
    </xf>
    <xf numFmtId="164" fontId="12" fillId="0" borderId="0" xfId="15" applyNumberFormat="1" applyFont="1" applyFill="1" applyAlignment="1">
      <alignment vertical="top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12" fillId="0" borderId="2" xfId="15" applyNumberFormat="1" applyFont="1" applyFill="1" applyBorder="1" applyAlignment="1">
      <alignment vertical="center"/>
    </xf>
    <xf numFmtId="164" fontId="12" fillId="0" borderId="0" xfId="15" applyNumberFormat="1" applyFont="1" applyAlignment="1">
      <alignment vertical="center"/>
    </xf>
    <xf numFmtId="0" fontId="13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12" fillId="0" borderId="0" xfId="15" applyNumberFormat="1" applyFont="1" applyAlignment="1">
      <alignment horizontal="center"/>
    </xf>
    <xf numFmtId="0" fontId="12" fillId="0" borderId="3" xfId="0" applyFont="1" applyBorder="1" applyAlignment="1">
      <alignment/>
    </xf>
    <xf numFmtId="164" fontId="12" fillId="0" borderId="4" xfId="15" applyNumberFormat="1" applyFont="1" applyBorder="1" applyAlignment="1">
      <alignment/>
    </xf>
    <xf numFmtId="164" fontId="12" fillId="0" borderId="5" xfId="15" applyNumberFormat="1" applyFont="1" applyBorder="1" applyAlignment="1">
      <alignment/>
    </xf>
    <xf numFmtId="0" fontId="12" fillId="0" borderId="6" xfId="0" applyFont="1" applyBorder="1" applyAlignment="1">
      <alignment/>
    </xf>
    <xf numFmtId="164" fontId="12" fillId="0" borderId="7" xfId="15" applyNumberFormat="1" applyFont="1" applyBorder="1" applyAlignment="1">
      <alignment/>
    </xf>
    <xf numFmtId="164" fontId="12" fillId="0" borderId="8" xfId="15" applyNumberFormat="1" applyFont="1" applyBorder="1" applyAlignment="1">
      <alignment/>
    </xf>
    <xf numFmtId="0" fontId="12" fillId="0" borderId="9" xfId="0" applyFont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43" fontId="12" fillId="0" borderId="12" xfId="15" applyNumberFormat="1" applyFont="1" applyBorder="1" applyAlignment="1">
      <alignment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center"/>
      <protection/>
    </xf>
    <xf numFmtId="37" fontId="7" fillId="0" borderId="0" xfId="21" applyNumberFormat="1" applyFont="1" applyFill="1">
      <alignment/>
      <protection/>
    </xf>
    <xf numFmtId="43" fontId="12" fillId="0" borderId="0" xfId="15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right"/>
    </xf>
    <xf numFmtId="164" fontId="12" fillId="0" borderId="0" xfId="15" applyNumberFormat="1" applyFont="1" applyFill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8" xfId="15" applyNumberFormat="1" applyFont="1" applyFill="1" applyBorder="1" applyAlignment="1">
      <alignment/>
    </xf>
    <xf numFmtId="0" fontId="12" fillId="0" borderId="0" xfId="0" applyFont="1" applyAlignment="1">
      <alignment horizontal="left" indent="1"/>
    </xf>
    <xf numFmtId="164" fontId="7" fillId="0" borderId="2" xfId="15" applyNumberFormat="1" applyFont="1" applyFill="1" applyBorder="1" applyAlignment="1">
      <alignment/>
    </xf>
    <xf numFmtId="0" fontId="15" fillId="0" borderId="0" xfId="22" applyFont="1" applyAlignment="1">
      <alignment vertical="top" wrapText="1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0" xfId="2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17" fillId="0" borderId="0" xfId="21" applyFont="1" applyFill="1" applyAlignment="1">
      <alignment horizontal="centerContinuous"/>
      <protection/>
    </xf>
    <xf numFmtId="0" fontId="17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12" fillId="0" borderId="0" xfId="21" applyFont="1" applyFill="1" applyBorder="1">
      <alignment/>
      <protection/>
    </xf>
    <xf numFmtId="167" fontId="12" fillId="0" borderId="0" xfId="21" applyNumberFormat="1" applyFont="1" applyFill="1" applyBorder="1">
      <alignment/>
      <protection/>
    </xf>
    <xf numFmtId="167" fontId="12" fillId="0" borderId="0" xfId="0" applyNumberFormat="1" applyFont="1" applyFill="1" applyBorder="1" applyAlignment="1">
      <alignment/>
    </xf>
    <xf numFmtId="168" fontId="12" fillId="0" borderId="0" xfId="21" applyNumberFormat="1" applyFont="1" applyFill="1">
      <alignment/>
      <protection/>
    </xf>
    <xf numFmtId="167" fontId="12" fillId="0" borderId="1" xfId="21" applyNumberFormat="1" applyFont="1" applyFill="1" applyBorder="1">
      <alignment/>
      <protection/>
    </xf>
    <xf numFmtId="167" fontId="12" fillId="0" borderId="1" xfId="0" applyNumberFormat="1" applyFont="1" applyFill="1" applyBorder="1" applyAlignment="1">
      <alignment/>
    </xf>
    <xf numFmtId="167" fontId="12" fillId="0" borderId="12" xfId="21" applyNumberFormat="1" applyFont="1" applyFill="1" applyBorder="1">
      <alignment/>
      <protection/>
    </xf>
    <xf numFmtId="167" fontId="12" fillId="0" borderId="12" xfId="0" applyNumberFormat="1" applyFont="1" applyFill="1" applyBorder="1" applyAlignment="1">
      <alignment/>
    </xf>
    <xf numFmtId="37" fontId="12" fillId="0" borderId="0" xfId="21" applyNumberFormat="1" applyFont="1" applyFill="1">
      <alignment/>
      <protection/>
    </xf>
    <xf numFmtId="0" fontId="15" fillId="0" borderId="0" xfId="22" applyFont="1" applyAlignment="1">
      <alignment horizontal="left" vertical="top" wrapText="1"/>
      <protection/>
    </xf>
    <xf numFmtId="0" fontId="18" fillId="0" borderId="0" xfId="0" applyFont="1" applyAlignment="1">
      <alignment/>
    </xf>
    <xf numFmtId="164" fontId="12" fillId="0" borderId="2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164" fontId="15" fillId="0" borderId="0" xfId="15" applyNumberFormat="1" applyFont="1" applyFill="1" applyAlignment="1">
      <alignment/>
    </xf>
    <xf numFmtId="164" fontId="20" fillId="0" borderId="0" xfId="15" applyNumberFormat="1" applyFont="1" applyFill="1" applyAlignment="1">
      <alignment/>
    </xf>
    <xf numFmtId="164" fontId="20" fillId="0" borderId="4" xfId="15" applyNumberFormat="1" applyFont="1" applyFill="1" applyBorder="1" applyAlignment="1">
      <alignment/>
    </xf>
    <xf numFmtId="164" fontId="20" fillId="0" borderId="0" xfId="15" applyNumberFormat="1" applyFont="1" applyFill="1" applyBorder="1" applyAlignment="1">
      <alignment/>
    </xf>
    <xf numFmtId="164" fontId="20" fillId="0" borderId="8" xfId="15" applyNumberFormat="1" applyFont="1" applyFill="1" applyBorder="1" applyAlignment="1">
      <alignment/>
    </xf>
    <xf numFmtId="164" fontId="20" fillId="0" borderId="2" xfId="15" applyNumberFormat="1" applyFont="1" applyFill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15" applyNumberFormat="1" applyFont="1" applyAlignment="1">
      <alignment/>
    </xf>
    <xf numFmtId="164" fontId="15" fillId="0" borderId="2" xfId="15" applyNumberFormat="1" applyFont="1" applyFill="1" applyBorder="1" applyAlignment="1">
      <alignment/>
    </xf>
    <xf numFmtId="0" fontId="15" fillId="0" borderId="0" xfId="21" applyFont="1" applyFill="1" applyBorder="1">
      <alignment/>
      <protection/>
    </xf>
    <xf numFmtId="167" fontId="15" fillId="0" borderId="0" xfId="21" applyNumberFormat="1" applyFont="1" applyFill="1" applyBorder="1">
      <alignment/>
      <protection/>
    </xf>
    <xf numFmtId="167" fontId="15" fillId="0" borderId="0" xfId="0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0" fontId="15" fillId="0" borderId="0" xfId="0" applyFont="1" applyFill="1" applyAlignment="1">
      <alignment/>
    </xf>
    <xf numFmtId="167" fontId="15" fillId="0" borderId="0" xfId="21" applyNumberFormat="1" applyFont="1" applyFill="1">
      <alignment/>
      <protection/>
    </xf>
    <xf numFmtId="167" fontId="15" fillId="0" borderId="1" xfId="21" applyNumberFormat="1" applyFont="1" applyFill="1" applyBorder="1">
      <alignment/>
      <protection/>
    </xf>
    <xf numFmtId="167" fontId="15" fillId="0" borderId="1" xfId="0" applyNumberFormat="1" applyFont="1" applyFill="1" applyBorder="1" applyAlignment="1">
      <alignment/>
    </xf>
    <xf numFmtId="167" fontId="15" fillId="0" borderId="12" xfId="21" applyNumberFormat="1" applyFont="1" applyFill="1" applyBorder="1">
      <alignment/>
      <protection/>
    </xf>
    <xf numFmtId="167" fontId="15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43" fontId="12" fillId="0" borderId="12" xfId="15" applyNumberFormat="1" applyFont="1" applyBorder="1" applyAlignment="1">
      <alignment horizontal="left" indent="1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 vertical="top"/>
    </xf>
    <xf numFmtId="164" fontId="22" fillId="0" borderId="0" xfId="15" applyNumberFormat="1" applyFont="1" applyAlignment="1">
      <alignment/>
    </xf>
    <xf numFmtId="168" fontId="15" fillId="0" borderId="0" xfId="21" applyNumberFormat="1" applyFont="1" applyFill="1">
      <alignment/>
      <protection/>
    </xf>
    <xf numFmtId="164" fontId="12" fillId="0" borderId="1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21" applyFont="1" applyFill="1" applyBorder="1">
      <alignment/>
      <protection/>
    </xf>
    <xf numFmtId="167" fontId="7" fillId="0" borderId="0" xfId="21" applyNumberFormat="1" applyFont="1" applyFill="1" applyBorder="1">
      <alignment/>
      <protection/>
    </xf>
    <xf numFmtId="168" fontId="7" fillId="0" borderId="0" xfId="21" applyNumberFormat="1" applyFont="1" applyFill="1" applyBorder="1">
      <alignment/>
      <protection/>
    </xf>
    <xf numFmtId="0" fontId="23" fillId="0" borderId="0" xfId="0" applyFont="1" applyBorder="1" applyAlignment="1">
      <alignment/>
    </xf>
    <xf numFmtId="0" fontId="12" fillId="0" borderId="0" xfId="22" applyFont="1" applyFill="1" applyAlignment="1">
      <alignment horizontal="left"/>
      <protection/>
    </xf>
    <xf numFmtId="43" fontId="12" fillId="0" borderId="0" xfId="15" applyFont="1" applyFill="1" applyAlignment="1">
      <alignment vertical="top"/>
    </xf>
    <xf numFmtId="43" fontId="7" fillId="0" borderId="0" xfId="15" applyFont="1" applyFill="1" applyAlignment="1">
      <alignment horizontal="right"/>
    </xf>
    <xf numFmtId="0" fontId="13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21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6</xdr:row>
      <xdr:rowOff>104775</xdr:rowOff>
    </xdr:from>
    <xdr:to>
      <xdr:col>8</xdr:col>
      <xdr:colOff>742950</xdr:colOff>
      <xdr:row>6</xdr:row>
      <xdr:rowOff>104775</xdr:rowOff>
    </xdr:to>
    <xdr:sp>
      <xdr:nvSpPr>
        <xdr:cNvPr id="1" name="Line 5"/>
        <xdr:cNvSpPr>
          <a:spLocks/>
        </xdr:cNvSpPr>
      </xdr:nvSpPr>
      <xdr:spPr>
        <a:xfrm>
          <a:off x="5553075" y="12477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95250</xdr:rowOff>
    </xdr:from>
    <xdr:to>
      <xdr:col>4</xdr:col>
      <xdr:colOff>581025</xdr:colOff>
      <xdr:row>6</xdr:row>
      <xdr:rowOff>95250</xdr:rowOff>
    </xdr:to>
    <xdr:sp>
      <xdr:nvSpPr>
        <xdr:cNvPr id="2" name="Line 6"/>
        <xdr:cNvSpPr>
          <a:spLocks/>
        </xdr:cNvSpPr>
      </xdr:nvSpPr>
      <xdr:spPr>
        <a:xfrm flipH="1">
          <a:off x="3876675" y="1238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workbookViewId="0" topLeftCell="A32">
      <selection activeCell="B45" sqref="B45"/>
    </sheetView>
  </sheetViews>
  <sheetFormatPr defaultColWidth="9.140625" defaultRowHeight="12.75"/>
  <cols>
    <col min="1" max="1" width="3.8515625" style="0" customWidth="1"/>
    <col min="2" max="2" width="22.57421875" style="48" customWidth="1"/>
    <col min="3" max="3" width="4.57421875" style="48" customWidth="1"/>
    <col min="4" max="4" width="14.140625" style="147" bestFit="1" customWidth="1"/>
    <col min="5" max="5" width="16.57421875" style="48" customWidth="1"/>
    <col min="6" max="6" width="1.7109375" style="48" bestFit="1" customWidth="1"/>
    <col min="7" max="7" width="14.28125" style="147" customWidth="1"/>
    <col min="8" max="8" width="16.57421875" style="48" customWidth="1"/>
    <col min="11" max="11" width="9.57421875" style="0" bestFit="1" customWidth="1"/>
  </cols>
  <sheetData>
    <row r="1" spans="2:8" ht="24" customHeight="1">
      <c r="B1" s="150" t="s">
        <v>62</v>
      </c>
      <c r="C1" s="150"/>
      <c r="D1" s="150"/>
      <c r="E1" s="150"/>
      <c r="F1" s="150"/>
      <c r="G1" s="150"/>
      <c r="H1" s="150"/>
    </row>
    <row r="2" spans="2:8" ht="15">
      <c r="B2" s="151"/>
      <c r="C2" s="151"/>
      <c r="D2" s="151"/>
      <c r="E2" s="151"/>
      <c r="F2" s="151"/>
      <c r="G2" s="151"/>
      <c r="H2" s="151"/>
    </row>
    <row r="3" spans="2:8" ht="15" customHeight="1">
      <c r="B3" s="153" t="s">
        <v>112</v>
      </c>
      <c r="C3" s="153"/>
      <c r="D3" s="153"/>
      <c r="E3" s="153"/>
      <c r="F3" s="153"/>
      <c r="G3" s="153"/>
      <c r="H3" s="153"/>
    </row>
    <row r="4" spans="2:8" ht="15">
      <c r="B4" s="154" t="s">
        <v>7</v>
      </c>
      <c r="C4" s="154"/>
      <c r="D4" s="154"/>
      <c r="E4" s="154"/>
      <c r="F4" s="154"/>
      <c r="G4" s="154"/>
      <c r="H4" s="154"/>
    </row>
    <row r="5" spans="3:8" ht="15">
      <c r="C5" s="11"/>
      <c r="D5" s="12"/>
      <c r="E5" s="11"/>
      <c r="F5" s="11"/>
      <c r="G5" s="12"/>
      <c r="H5" s="3"/>
    </row>
    <row r="6" spans="2:8" ht="15">
      <c r="B6" s="13"/>
      <c r="C6" s="13"/>
      <c r="D6" s="14"/>
      <c r="E6" s="13"/>
      <c r="F6" s="13"/>
      <c r="G6" s="14"/>
      <c r="H6" s="15"/>
    </row>
    <row r="7" spans="2:8" ht="15">
      <c r="B7" s="3" t="s">
        <v>83</v>
      </c>
      <c r="C7" s="11"/>
      <c r="D7" s="12"/>
      <c r="E7" s="11"/>
      <c r="F7" s="11"/>
      <c r="G7" s="12"/>
      <c r="H7" s="11"/>
    </row>
    <row r="8" spans="2:8" ht="11.25" customHeight="1">
      <c r="B8" s="11"/>
      <c r="C8" s="11"/>
      <c r="D8" s="12"/>
      <c r="E8" s="11"/>
      <c r="F8" s="11"/>
      <c r="G8" s="12"/>
      <c r="H8" s="11"/>
    </row>
    <row r="9" spans="2:8" s="49" customFormat="1" ht="12">
      <c r="B9" s="5"/>
      <c r="C9" s="5"/>
      <c r="D9" s="152" t="s">
        <v>33</v>
      </c>
      <c r="E9" s="152"/>
      <c r="F9" s="5"/>
      <c r="G9" s="152" t="s">
        <v>32</v>
      </c>
      <c r="H9" s="152"/>
    </row>
    <row r="10" spans="2:8" s="49" customFormat="1" ht="36">
      <c r="B10" s="5"/>
      <c r="C10" s="5"/>
      <c r="D10" s="105" t="s">
        <v>2</v>
      </c>
      <c r="E10" s="104" t="s">
        <v>5</v>
      </c>
      <c r="F10" s="4"/>
      <c r="G10" s="105" t="s">
        <v>4</v>
      </c>
      <c r="H10" s="104" t="s">
        <v>3</v>
      </c>
    </row>
    <row r="11" spans="2:8" ht="15">
      <c r="B11" s="11"/>
      <c r="C11" s="11"/>
      <c r="D11" s="108" t="s">
        <v>113</v>
      </c>
      <c r="E11" s="108" t="s">
        <v>91</v>
      </c>
      <c r="F11" s="108"/>
      <c r="G11" s="108" t="s">
        <v>113</v>
      </c>
      <c r="H11" s="108" t="s">
        <v>91</v>
      </c>
    </row>
    <row r="12" spans="2:8" ht="15">
      <c r="B12" s="11"/>
      <c r="C12" s="11"/>
      <c r="D12" s="90" t="s">
        <v>1</v>
      </c>
      <c r="E12" s="16" t="s">
        <v>1</v>
      </c>
      <c r="F12" s="16"/>
      <c r="G12" s="90" t="s">
        <v>1</v>
      </c>
      <c r="H12" s="16" t="s">
        <v>1</v>
      </c>
    </row>
    <row r="13" spans="2:8" ht="15">
      <c r="B13" s="11"/>
      <c r="C13" s="11"/>
      <c r="D13" s="12"/>
      <c r="E13" s="11"/>
      <c r="F13" s="11"/>
      <c r="G13" s="12"/>
      <c r="H13" s="11"/>
    </row>
    <row r="14" spans="2:8" s="7" customFormat="1" ht="15">
      <c r="B14" s="17" t="s">
        <v>8</v>
      </c>
      <c r="C14" s="18"/>
      <c r="D14" s="19">
        <v>83672</v>
      </c>
      <c r="E14" s="19">
        <v>66641</v>
      </c>
      <c r="F14" s="20"/>
      <c r="G14" s="19">
        <v>320160</v>
      </c>
      <c r="H14" s="19">
        <v>212663</v>
      </c>
    </row>
    <row r="15" spans="2:8" s="7" customFormat="1" ht="15">
      <c r="B15" s="17"/>
      <c r="C15" s="18"/>
      <c r="D15" s="19"/>
      <c r="E15" s="19"/>
      <c r="F15" s="20"/>
      <c r="G15" s="19"/>
      <c r="H15" s="19"/>
    </row>
    <row r="16" spans="2:8" s="7" customFormat="1" ht="15">
      <c r="B16" s="17" t="s">
        <v>30</v>
      </c>
      <c r="C16" s="18"/>
      <c r="D16" s="19">
        <v>-75118</v>
      </c>
      <c r="E16" s="19">
        <v>-58159</v>
      </c>
      <c r="F16" s="20"/>
      <c r="G16" s="19">
        <v>-269851</v>
      </c>
      <c r="H16" s="19">
        <f>-184815+4020+8595</f>
        <v>-172200</v>
      </c>
    </row>
    <row r="17" spans="2:8" s="7" customFormat="1" ht="15">
      <c r="B17" s="17"/>
      <c r="C17" s="18"/>
      <c r="D17" s="19"/>
      <c r="E17" s="19"/>
      <c r="F17" s="20"/>
      <c r="G17" s="19"/>
      <c r="H17" s="19"/>
    </row>
    <row r="18" spans="2:8" s="7" customFormat="1" ht="15">
      <c r="B18" s="17" t="s">
        <v>31</v>
      </c>
      <c r="C18" s="18"/>
      <c r="D18" s="19">
        <v>748</v>
      </c>
      <c r="E18" s="19">
        <v>164</v>
      </c>
      <c r="F18" s="20"/>
      <c r="G18" s="19">
        <v>1639</v>
      </c>
      <c r="H18" s="19">
        <v>1160</v>
      </c>
    </row>
    <row r="19" spans="2:8" s="7" customFormat="1" ht="15">
      <c r="B19" s="17"/>
      <c r="C19" s="18"/>
      <c r="D19" s="21"/>
      <c r="E19" s="21"/>
      <c r="F19" s="22"/>
      <c r="G19" s="21"/>
      <c r="H19" s="21"/>
    </row>
    <row r="20" spans="2:8" s="7" customFormat="1" ht="15">
      <c r="B20" s="17" t="s">
        <v>22</v>
      </c>
      <c r="C20" s="23"/>
      <c r="D20" s="19">
        <f>SUM(D14:D18)</f>
        <v>9302</v>
      </c>
      <c r="E20" s="19">
        <v>8646</v>
      </c>
      <c r="F20" s="20"/>
      <c r="G20" s="19">
        <f>SUM(G14:G18)</f>
        <v>51948</v>
      </c>
      <c r="H20" s="19">
        <f>SUM(H14:H18)</f>
        <v>41623</v>
      </c>
    </row>
    <row r="21" spans="2:8" s="7" customFormat="1" ht="15">
      <c r="B21" s="17"/>
      <c r="C21" s="23"/>
      <c r="D21" s="19"/>
      <c r="E21" s="19"/>
      <c r="F21" s="20"/>
      <c r="G21" s="19"/>
      <c r="H21" s="19"/>
    </row>
    <row r="22" spans="2:8" s="7" customFormat="1" ht="15">
      <c r="B22" s="17" t="s">
        <v>9</v>
      </c>
      <c r="C22" s="23"/>
      <c r="D22" s="19">
        <v>-656</v>
      </c>
      <c r="E22" s="19">
        <v>-954</v>
      </c>
      <c r="F22" s="20"/>
      <c r="G22" s="19">
        <v>-3415</v>
      </c>
      <c r="H22" s="19">
        <v>-3884</v>
      </c>
    </row>
    <row r="23" spans="2:8" s="7" customFormat="1" ht="15">
      <c r="B23" s="17"/>
      <c r="C23" s="23"/>
      <c r="D23" s="19"/>
      <c r="E23" s="19"/>
      <c r="F23" s="20"/>
      <c r="G23" s="19"/>
      <c r="H23" s="19"/>
    </row>
    <row r="24" spans="2:8" s="7" customFormat="1" ht="15">
      <c r="B24" s="17" t="s">
        <v>82</v>
      </c>
      <c r="C24" s="23"/>
      <c r="D24" s="19">
        <v>801</v>
      </c>
      <c r="E24" s="19">
        <v>488</v>
      </c>
      <c r="F24" s="20"/>
      <c r="G24" s="19">
        <v>1685</v>
      </c>
      <c r="H24" s="19">
        <v>1687</v>
      </c>
    </row>
    <row r="25" spans="2:8" s="7" customFormat="1" ht="15">
      <c r="B25" s="17"/>
      <c r="C25" s="23"/>
      <c r="D25" s="19"/>
      <c r="E25" s="19"/>
      <c r="F25" s="20"/>
      <c r="G25" s="19"/>
      <c r="H25" s="19"/>
    </row>
    <row r="26" spans="2:8" s="7" customFormat="1" ht="30">
      <c r="B26" s="24" t="s">
        <v>25</v>
      </c>
      <c r="C26" s="25"/>
      <c r="D26" s="26">
        <v>519</v>
      </c>
      <c r="E26" s="26">
        <v>1765</v>
      </c>
      <c r="F26" s="27"/>
      <c r="G26" s="26">
        <v>2793</v>
      </c>
      <c r="H26" s="26">
        <v>3699</v>
      </c>
    </row>
    <row r="27" spans="2:8" s="7" customFormat="1" ht="15">
      <c r="B27" s="24"/>
      <c r="C27" s="25"/>
      <c r="D27" s="26"/>
      <c r="E27" s="26"/>
      <c r="F27" s="27"/>
      <c r="G27" s="26"/>
      <c r="H27" s="26"/>
    </row>
    <row r="28" spans="2:8" s="7" customFormat="1" ht="15">
      <c r="B28" s="24" t="s">
        <v>119</v>
      </c>
      <c r="C28" s="25"/>
      <c r="D28" s="26"/>
      <c r="E28" s="26"/>
      <c r="F28" s="27"/>
      <c r="G28" s="26"/>
      <c r="H28" s="26"/>
    </row>
    <row r="29" spans="2:8" s="7" customFormat="1" ht="15">
      <c r="B29" s="24" t="s">
        <v>120</v>
      </c>
      <c r="C29" s="25"/>
      <c r="D29" s="26"/>
      <c r="E29" s="26"/>
      <c r="F29" s="27"/>
      <c r="G29" s="26"/>
      <c r="H29" s="26"/>
    </row>
    <row r="30" spans="2:8" s="7" customFormat="1" ht="15">
      <c r="B30" s="24" t="s">
        <v>121</v>
      </c>
      <c r="C30" s="25"/>
      <c r="D30" s="26">
        <f>13849-10950+1400</f>
        <v>4299</v>
      </c>
      <c r="E30" s="26">
        <v>0</v>
      </c>
      <c r="F30" s="27"/>
      <c r="G30" s="26">
        <f>13849-10950+1400</f>
        <v>4299</v>
      </c>
      <c r="H30" s="26">
        <v>0</v>
      </c>
    </row>
    <row r="31" spans="2:8" s="7" customFormat="1" ht="15">
      <c r="B31" s="24"/>
      <c r="C31" s="25"/>
      <c r="D31" s="28"/>
      <c r="E31" s="28"/>
      <c r="F31" s="27"/>
      <c r="G31" s="28"/>
      <c r="H31" s="28"/>
    </row>
    <row r="32" spans="2:8" s="7" customFormat="1" ht="15">
      <c r="B32" s="17" t="s">
        <v>13</v>
      </c>
      <c r="C32" s="23"/>
      <c r="D32" s="19">
        <f>SUM(D20:D31)</f>
        <v>14265</v>
      </c>
      <c r="E32" s="19">
        <f>SUM(E20:E31)</f>
        <v>9945</v>
      </c>
      <c r="F32" s="20"/>
      <c r="G32" s="19">
        <f>SUM(G20:G31)</f>
        <v>57310</v>
      </c>
      <c r="H32" s="19">
        <f>SUM(H20:H31)</f>
        <v>43125</v>
      </c>
    </row>
    <row r="33" spans="2:8" s="7" customFormat="1" ht="15">
      <c r="B33" s="17"/>
      <c r="C33" s="23"/>
      <c r="D33" s="19"/>
      <c r="E33" s="19"/>
      <c r="F33" s="20"/>
      <c r="G33" s="19"/>
      <c r="H33" s="19"/>
    </row>
    <row r="34" spans="2:8" s="7" customFormat="1" ht="15">
      <c r="B34" s="29" t="s">
        <v>0</v>
      </c>
      <c r="C34" s="30"/>
      <c r="D34" s="31">
        <f>-4270-1400</f>
        <v>-5670</v>
      </c>
      <c r="E34" s="31">
        <v>-3526</v>
      </c>
      <c r="F34" s="32"/>
      <c r="G34" s="31">
        <f>-16695-1400</f>
        <v>-18095</v>
      </c>
      <c r="H34" s="31">
        <v>-13327</v>
      </c>
    </row>
    <row r="35" spans="2:8" s="7" customFormat="1" ht="15">
      <c r="B35" s="29"/>
      <c r="C35" s="30"/>
      <c r="D35" s="33"/>
      <c r="E35" s="33"/>
      <c r="F35" s="34"/>
      <c r="G35" s="33"/>
      <c r="H35" s="33"/>
    </row>
    <row r="36" spans="2:8" s="7" customFormat="1" ht="15">
      <c r="B36" s="29" t="s">
        <v>14</v>
      </c>
      <c r="C36" s="35"/>
      <c r="D36" s="36">
        <f>SUM(D32:D34)</f>
        <v>8595</v>
      </c>
      <c r="E36" s="36">
        <v>6419</v>
      </c>
      <c r="F36" s="22"/>
      <c r="G36" s="36">
        <f>SUM(G32:G34)</f>
        <v>39215</v>
      </c>
      <c r="H36" s="36">
        <f>SUM(H32:H34)</f>
        <v>29798</v>
      </c>
    </row>
    <row r="37" spans="2:8" s="7" customFormat="1" ht="15">
      <c r="B37" s="29"/>
      <c r="C37" s="35"/>
      <c r="D37" s="36"/>
      <c r="E37" s="36"/>
      <c r="F37" s="22"/>
      <c r="G37" s="36"/>
      <c r="H37" s="36"/>
    </row>
    <row r="38" spans="2:8" s="7" customFormat="1" ht="15">
      <c r="B38" s="29" t="s">
        <v>10</v>
      </c>
      <c r="C38" s="30"/>
      <c r="D38" s="31">
        <v>276</v>
      </c>
      <c r="E38" s="31">
        <v>-90</v>
      </c>
      <c r="F38" s="32"/>
      <c r="G38" s="31">
        <v>-491</v>
      </c>
      <c r="H38" s="31">
        <v>-245</v>
      </c>
    </row>
    <row r="39" spans="2:8" s="7" customFormat="1" ht="15">
      <c r="B39" s="29"/>
      <c r="C39" s="30"/>
      <c r="D39" s="31"/>
      <c r="E39" s="31"/>
      <c r="F39" s="34"/>
      <c r="G39" s="31"/>
      <c r="H39" s="31"/>
    </row>
    <row r="40" spans="2:8" s="7" customFormat="1" ht="36.75" customHeight="1" thickBot="1">
      <c r="B40" s="37" t="s">
        <v>76</v>
      </c>
      <c r="C40" s="38"/>
      <c r="D40" s="39">
        <f>SUM(D36:D38)</f>
        <v>8871</v>
      </c>
      <c r="E40" s="39">
        <v>6329</v>
      </c>
      <c r="F40" s="40"/>
      <c r="G40" s="39">
        <f>SUM(G36:G38)</f>
        <v>38724</v>
      </c>
      <c r="H40" s="39">
        <f>SUM(H36:H38)</f>
        <v>29553</v>
      </c>
    </row>
    <row r="41" spans="2:8" ht="15">
      <c r="B41" s="41"/>
      <c r="C41" s="41"/>
      <c r="D41" s="42"/>
      <c r="E41" s="22"/>
      <c r="F41" s="22"/>
      <c r="G41" s="42"/>
      <c r="H41" s="42"/>
    </row>
    <row r="42" spans="2:8" ht="15">
      <c r="B42" s="43" t="s">
        <v>15</v>
      </c>
      <c r="C42" s="41"/>
      <c r="D42" s="42"/>
      <c r="E42" s="22"/>
      <c r="F42" s="22"/>
      <c r="G42" s="42"/>
      <c r="H42" s="42"/>
    </row>
    <row r="43" spans="2:9" ht="15">
      <c r="B43" s="44" t="s">
        <v>78</v>
      </c>
      <c r="C43" s="45"/>
      <c r="D43" s="146">
        <v>4.11</v>
      </c>
      <c r="E43" s="145">
        <f>6329251/199500000*100</f>
        <v>3.1725568922305762</v>
      </c>
      <c r="F43" t="s">
        <v>134</v>
      </c>
      <c r="G43" s="135">
        <v>19.02</v>
      </c>
      <c r="H43" s="145">
        <f>29552532/199500000*100</f>
        <v>14.813299248120302</v>
      </c>
      <c r="I43" t="s">
        <v>134</v>
      </c>
    </row>
    <row r="44" spans="2:8" ht="15">
      <c r="B44" s="44" t="s">
        <v>77</v>
      </c>
      <c r="C44" s="47"/>
      <c r="D44" s="146">
        <v>4</v>
      </c>
      <c r="E44" s="145">
        <f>6329251/199500000*100</f>
        <v>3.1725568922305762</v>
      </c>
      <c r="F44" s="47"/>
      <c r="G44" s="146">
        <v>18.49</v>
      </c>
      <c r="H44" s="145">
        <f>29552532/199500000*100</f>
        <v>14.813299248120302</v>
      </c>
    </row>
    <row r="45" spans="2:8" ht="15">
      <c r="B45" s="46"/>
      <c r="C45" s="11"/>
      <c r="D45" s="6"/>
      <c r="E45" s="11"/>
      <c r="F45" s="11"/>
      <c r="G45" s="6"/>
      <c r="H45" s="11"/>
    </row>
    <row r="46" spans="2:8" ht="29.25" customHeight="1">
      <c r="B46" s="30" t="s">
        <v>132</v>
      </c>
      <c r="C46" s="11"/>
      <c r="D46" s="155" t="s">
        <v>136</v>
      </c>
      <c r="E46" s="156"/>
      <c r="F46" s="156"/>
      <c r="G46" s="156"/>
      <c r="H46" s="156"/>
    </row>
    <row r="47" spans="2:8" ht="15">
      <c r="B47" s="46"/>
      <c r="C47" s="11"/>
      <c r="D47" s="6"/>
      <c r="E47" s="11"/>
      <c r="F47" s="11"/>
      <c r="G47" s="12"/>
      <c r="H47" s="11"/>
    </row>
    <row r="48" spans="2:8" ht="29.25" customHeight="1">
      <c r="B48" s="149" t="s">
        <v>95</v>
      </c>
      <c r="C48" s="149"/>
      <c r="D48" s="149"/>
      <c r="E48" s="149"/>
      <c r="F48" s="149"/>
      <c r="G48" s="149"/>
      <c r="H48" s="149"/>
    </row>
  </sheetData>
  <mergeCells count="8">
    <mergeCell ref="B48:H48"/>
    <mergeCell ref="B1:H1"/>
    <mergeCell ref="B2:H2"/>
    <mergeCell ref="G9:H9"/>
    <mergeCell ref="D9:E9"/>
    <mergeCell ref="B3:H3"/>
    <mergeCell ref="B4:H4"/>
    <mergeCell ref="D46:H46"/>
  </mergeCells>
  <printOptions horizontalCentered="1"/>
  <pageMargins left="1.16" right="0.22" top="0.87" bottom="0.74" header="0.5" footer="0.5"/>
  <pageSetup fitToHeight="1" fitToWidth="1" horizontalDpi="600" verticalDpi="600" orientation="portrait" paperSize="9" scale="86" r:id="rId1"/>
  <headerFooter alignWithMargins="0">
    <oddFooter>&amp;R&amp;"Times New Roman,Italic"Page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workbookViewId="0" topLeftCell="B18">
      <selection activeCell="F23" sqref="F23"/>
    </sheetView>
  </sheetViews>
  <sheetFormatPr defaultColWidth="9.140625" defaultRowHeight="12.75"/>
  <cols>
    <col min="1" max="1" width="2.140625" style="0" customWidth="1"/>
    <col min="2" max="2" width="2.7109375" style="8" customWidth="1"/>
    <col min="3" max="3" width="50.8515625" style="8" customWidth="1"/>
    <col min="4" max="4" width="2.421875" style="8" customWidth="1"/>
    <col min="5" max="5" width="0.85546875" style="8" customWidth="1"/>
    <col min="6" max="6" width="13.00390625" style="22" customWidth="1"/>
    <col min="7" max="7" width="0.71875" style="9" customWidth="1"/>
    <col min="8" max="8" width="1.7109375" style="8" customWidth="1"/>
    <col min="9" max="9" width="0.71875" style="8" customWidth="1"/>
    <col min="10" max="10" width="12.57421875" style="9" customWidth="1"/>
    <col min="11" max="11" width="0.71875" style="1" customWidth="1"/>
    <col min="12" max="12" width="5.421875" style="1" customWidth="1"/>
    <col min="13" max="13" width="11.00390625" style="0" bestFit="1" customWidth="1"/>
  </cols>
  <sheetData>
    <row r="1" spans="2:12" ht="24.75" customHeight="1">
      <c r="B1" s="150" t="s">
        <v>62</v>
      </c>
      <c r="C1" s="150"/>
      <c r="D1" s="150"/>
      <c r="E1" s="150"/>
      <c r="F1" s="150"/>
      <c r="G1" s="150"/>
      <c r="H1" s="150"/>
      <c r="I1" s="150"/>
      <c r="J1" s="150"/>
      <c r="K1" s="2"/>
      <c r="L1" s="2"/>
    </row>
    <row r="2" spans="2:12" ht="15.75" customHeight="1">
      <c r="B2" s="50"/>
      <c r="C2" s="50"/>
      <c r="D2" s="50"/>
      <c r="E2" s="50"/>
      <c r="F2" s="131"/>
      <c r="G2" s="50"/>
      <c r="H2" s="50"/>
      <c r="I2" s="50"/>
      <c r="J2" s="50"/>
      <c r="K2" s="2"/>
      <c r="L2" s="2"/>
    </row>
    <row r="3" spans="2:12" s="48" customFormat="1" ht="15">
      <c r="B3" s="3" t="s">
        <v>114</v>
      </c>
      <c r="C3" s="3"/>
      <c r="D3" s="3"/>
      <c r="E3" s="3"/>
      <c r="F3" s="22"/>
      <c r="G3" s="51"/>
      <c r="H3" s="3"/>
      <c r="I3" s="3"/>
      <c r="J3" s="51"/>
      <c r="K3" s="3"/>
      <c r="L3" s="3"/>
    </row>
    <row r="4" spans="2:12" s="48" customFormat="1" ht="15">
      <c r="B4" s="3"/>
      <c r="C4" s="3"/>
      <c r="D4" s="3"/>
      <c r="E4" s="3"/>
      <c r="F4" s="22"/>
      <c r="G4" s="51"/>
      <c r="H4" s="3"/>
      <c r="I4" s="3"/>
      <c r="J4" s="51"/>
      <c r="K4" s="3"/>
      <c r="L4" s="3"/>
    </row>
    <row r="5" spans="2:12" s="48" customFormat="1" ht="14.25">
      <c r="B5" s="16"/>
      <c r="C5" s="16"/>
      <c r="D5" s="16"/>
      <c r="E5" s="16"/>
      <c r="F5" s="52" t="s">
        <v>34</v>
      </c>
      <c r="G5" s="52"/>
      <c r="H5" s="16"/>
      <c r="I5" s="16"/>
      <c r="J5" s="52" t="s">
        <v>34</v>
      </c>
      <c r="K5" s="52"/>
      <c r="L5" s="16"/>
    </row>
    <row r="6" spans="2:12" s="48" customFormat="1" ht="14.25">
      <c r="B6" s="16"/>
      <c r="C6" s="16"/>
      <c r="D6" s="16"/>
      <c r="E6" s="16"/>
      <c r="F6" s="108" t="s">
        <v>113</v>
      </c>
      <c r="G6" s="52"/>
      <c r="H6" s="16"/>
      <c r="I6" s="16"/>
      <c r="J6" s="52" t="s">
        <v>91</v>
      </c>
      <c r="K6" s="52"/>
      <c r="L6" s="16"/>
    </row>
    <row r="7" spans="2:12" s="48" customFormat="1" ht="14.25">
      <c r="B7" s="16"/>
      <c r="C7" s="16"/>
      <c r="D7" s="16"/>
      <c r="E7" s="16"/>
      <c r="F7" s="52" t="s">
        <v>35</v>
      </c>
      <c r="G7" s="52"/>
      <c r="H7" s="16"/>
      <c r="I7" s="16"/>
      <c r="J7" s="52" t="s">
        <v>36</v>
      </c>
      <c r="K7" s="52"/>
      <c r="L7" s="16"/>
    </row>
    <row r="8" spans="2:12" s="48" customFormat="1" ht="15">
      <c r="B8" s="11"/>
      <c r="C8" s="11"/>
      <c r="D8" s="11"/>
      <c r="E8" s="11"/>
      <c r="F8" s="52" t="s">
        <v>1</v>
      </c>
      <c r="G8" s="53"/>
      <c r="H8" s="11"/>
      <c r="I8" s="11"/>
      <c r="J8" s="52" t="s">
        <v>1</v>
      </c>
      <c r="K8" s="53"/>
      <c r="L8" s="11"/>
    </row>
    <row r="9" spans="2:12" s="48" customFormat="1" ht="15" hidden="1">
      <c r="B9" s="11"/>
      <c r="C9" s="11"/>
      <c r="D9" s="11"/>
      <c r="E9" s="11"/>
      <c r="F9" s="22"/>
      <c r="G9" s="22"/>
      <c r="H9" s="11"/>
      <c r="I9" s="11"/>
      <c r="J9" s="22"/>
      <c r="K9" s="22"/>
      <c r="L9" s="11"/>
    </row>
    <row r="10" spans="2:13" s="48" customFormat="1" ht="15.75">
      <c r="B10" s="11" t="s">
        <v>37</v>
      </c>
      <c r="C10" s="11"/>
      <c r="D10" s="11"/>
      <c r="E10" s="11"/>
      <c r="F10" s="22">
        <v>11070.21495722222</v>
      </c>
      <c r="G10" s="22"/>
      <c r="H10" s="11"/>
      <c r="I10" s="11"/>
      <c r="J10" s="22">
        <v>8863.789697222222</v>
      </c>
      <c r="K10" s="22"/>
      <c r="L10" s="11"/>
      <c r="M10" s="136"/>
    </row>
    <row r="11" spans="2:13" s="48" customFormat="1" ht="15.75">
      <c r="B11" s="11" t="s">
        <v>38</v>
      </c>
      <c r="C11" s="11"/>
      <c r="D11" s="11"/>
      <c r="E11" s="11"/>
      <c r="F11" s="22">
        <v>89289.758</v>
      </c>
      <c r="G11" s="22"/>
      <c r="H11" s="11"/>
      <c r="I11" s="11"/>
      <c r="J11" s="22">
        <v>134450.7</v>
      </c>
      <c r="K11" s="22"/>
      <c r="L11" s="11"/>
      <c r="M11" s="136"/>
    </row>
    <row r="12" spans="2:13" s="48" customFormat="1" ht="15.75">
      <c r="B12" s="11" t="s">
        <v>39</v>
      </c>
      <c r="C12" s="11"/>
      <c r="D12" s="11"/>
      <c r="E12" s="11"/>
      <c r="F12" s="22">
        <v>32214.58266</v>
      </c>
      <c r="G12" s="22"/>
      <c r="H12" s="11"/>
      <c r="I12" s="11"/>
      <c r="J12" s="22">
        <v>31018.91889</v>
      </c>
      <c r="K12" s="22"/>
      <c r="L12" s="11"/>
      <c r="M12" s="136"/>
    </row>
    <row r="13" spans="2:13" s="48" customFormat="1" ht="15.75">
      <c r="B13" s="11" t="s">
        <v>40</v>
      </c>
      <c r="C13" s="11"/>
      <c r="D13" s="11"/>
      <c r="E13" s="11"/>
      <c r="F13" s="22">
        <v>4000</v>
      </c>
      <c r="G13" s="22"/>
      <c r="H13" s="11"/>
      <c r="I13" s="11"/>
      <c r="J13" s="22">
        <v>4000</v>
      </c>
      <c r="K13" s="22"/>
      <c r="L13" s="11"/>
      <c r="M13" s="136"/>
    </row>
    <row r="14" spans="2:13" s="48" customFormat="1" ht="15.75">
      <c r="B14" s="11" t="s">
        <v>100</v>
      </c>
      <c r="C14" s="11"/>
      <c r="D14" s="11"/>
      <c r="E14" s="11"/>
      <c r="F14" s="22">
        <v>6038.218006666668</v>
      </c>
      <c r="G14" s="22"/>
      <c r="H14" s="11"/>
      <c r="I14" s="11"/>
      <c r="J14" s="22">
        <f>1183.10694</f>
        <v>1183.10694</v>
      </c>
      <c r="K14" s="22"/>
      <c r="L14" s="11"/>
      <c r="M14" s="136"/>
    </row>
    <row r="15" spans="2:13" s="48" customFormat="1" ht="15.75">
      <c r="B15" s="11" t="s">
        <v>41</v>
      </c>
      <c r="C15" s="11"/>
      <c r="D15" s="11"/>
      <c r="E15" s="11"/>
      <c r="F15" s="22">
        <v>136683</v>
      </c>
      <c r="G15" s="22"/>
      <c r="H15" s="11"/>
      <c r="I15" s="11"/>
      <c r="J15" s="22">
        <v>103161.969</v>
      </c>
      <c r="K15" s="22"/>
      <c r="L15" s="11"/>
      <c r="M15" s="136"/>
    </row>
    <row r="16" spans="2:13" s="48" customFormat="1" ht="15.75">
      <c r="B16" s="11" t="s">
        <v>122</v>
      </c>
      <c r="C16" s="11"/>
      <c r="D16" s="11"/>
      <c r="E16" s="11"/>
      <c r="F16" s="22">
        <v>1823.15</v>
      </c>
      <c r="G16" s="22"/>
      <c r="H16" s="11"/>
      <c r="I16" s="11"/>
      <c r="J16" s="22">
        <v>0</v>
      </c>
      <c r="K16" s="22"/>
      <c r="L16" s="11"/>
      <c r="M16" s="136"/>
    </row>
    <row r="17" spans="2:12" s="48" customFormat="1" ht="15">
      <c r="B17" s="11"/>
      <c r="C17" s="11"/>
      <c r="D17" s="11"/>
      <c r="E17" s="11"/>
      <c r="F17" s="22"/>
      <c r="G17" s="22"/>
      <c r="H17" s="11"/>
      <c r="I17" s="11"/>
      <c r="J17" s="22"/>
      <c r="K17" s="22"/>
      <c r="L17" s="11"/>
    </row>
    <row r="18" spans="2:12" s="48" customFormat="1" ht="15">
      <c r="B18" s="11" t="s">
        <v>42</v>
      </c>
      <c r="C18" s="11"/>
      <c r="D18" s="11"/>
      <c r="E18" s="54"/>
      <c r="F18" s="55"/>
      <c r="G18" s="56"/>
      <c r="H18" s="11"/>
      <c r="I18" s="54"/>
      <c r="J18" s="55"/>
      <c r="K18" s="56"/>
      <c r="L18" s="11"/>
    </row>
    <row r="19" spans="2:12" s="48" customFormat="1" ht="15">
      <c r="B19" s="11"/>
      <c r="C19" s="11" t="s">
        <v>11</v>
      </c>
      <c r="D19" s="11"/>
      <c r="E19" s="57"/>
      <c r="F19" s="20">
        <v>8649.039</v>
      </c>
      <c r="G19" s="58"/>
      <c r="H19" s="11"/>
      <c r="I19" s="57"/>
      <c r="J19" s="20">
        <v>9487.886</v>
      </c>
      <c r="K19" s="58"/>
      <c r="L19" s="11"/>
    </row>
    <row r="20" spans="2:12" s="48" customFormat="1" ht="15">
      <c r="B20" s="11"/>
      <c r="C20" s="11" t="s">
        <v>43</v>
      </c>
      <c r="D20" s="11"/>
      <c r="E20" s="57"/>
      <c r="F20" s="20">
        <v>85969</v>
      </c>
      <c r="G20" s="58"/>
      <c r="H20" s="11"/>
      <c r="I20" s="57"/>
      <c r="J20" s="20">
        <v>104010.38784180873</v>
      </c>
      <c r="K20" s="58"/>
      <c r="L20" s="11"/>
    </row>
    <row r="21" spans="2:12" s="48" customFormat="1" ht="15">
      <c r="B21" s="11"/>
      <c r="C21" s="11" t="s">
        <v>44</v>
      </c>
      <c r="D21" s="11"/>
      <c r="E21" s="57"/>
      <c r="F21" s="20">
        <v>1042.953</v>
      </c>
      <c r="G21" s="58"/>
      <c r="H21" s="11"/>
      <c r="I21" s="57"/>
      <c r="J21" s="20">
        <v>1387.457</v>
      </c>
      <c r="K21" s="58"/>
      <c r="L21" s="11"/>
    </row>
    <row r="22" spans="2:12" s="48" customFormat="1" ht="15">
      <c r="B22" s="11"/>
      <c r="C22" s="11" t="s">
        <v>45</v>
      </c>
      <c r="D22" s="11"/>
      <c r="E22" s="57"/>
      <c r="F22" s="20">
        <v>28276.848</v>
      </c>
      <c r="G22" s="58"/>
      <c r="H22" s="11"/>
      <c r="I22" s="57"/>
      <c r="J22" s="20">
        <v>16531.451</v>
      </c>
      <c r="K22" s="58"/>
      <c r="L22" s="11"/>
    </row>
    <row r="23" spans="2:12" s="48" customFormat="1" ht="15">
      <c r="B23" s="11"/>
      <c r="C23" s="11" t="s">
        <v>46</v>
      </c>
      <c r="D23" s="11"/>
      <c r="E23" s="57"/>
      <c r="F23" s="103">
        <f>29064.228+10321</f>
        <v>39385.228</v>
      </c>
      <c r="G23" s="58"/>
      <c r="H23" s="11"/>
      <c r="I23" s="57"/>
      <c r="J23" s="20">
        <v>15627.73</v>
      </c>
      <c r="K23" s="58"/>
      <c r="L23" s="11"/>
    </row>
    <row r="24" spans="2:12" s="48" customFormat="1" ht="15">
      <c r="B24" s="11"/>
      <c r="C24" s="11" t="s">
        <v>47</v>
      </c>
      <c r="D24" s="11"/>
      <c r="E24" s="57"/>
      <c r="F24" s="20">
        <v>4315.362</v>
      </c>
      <c r="G24" s="58"/>
      <c r="H24" s="11"/>
      <c r="I24" s="57"/>
      <c r="J24" s="20">
        <v>4485.96</v>
      </c>
      <c r="K24" s="58"/>
      <c r="L24" s="11"/>
    </row>
    <row r="25" spans="2:12" s="48" customFormat="1" ht="15">
      <c r="B25" s="11"/>
      <c r="C25" s="11" t="s">
        <v>48</v>
      </c>
      <c r="D25" s="11"/>
      <c r="E25" s="57"/>
      <c r="F25" s="20">
        <v>2106.218</v>
      </c>
      <c r="G25" s="58"/>
      <c r="H25" s="11"/>
      <c r="I25" s="57"/>
      <c r="J25" s="20">
        <v>5717.173</v>
      </c>
      <c r="K25" s="58"/>
      <c r="L25" s="11"/>
    </row>
    <row r="26" spans="2:12" s="48" customFormat="1" ht="15">
      <c r="B26" s="11"/>
      <c r="C26" s="11" t="s">
        <v>49</v>
      </c>
      <c r="D26" s="11"/>
      <c r="E26" s="57"/>
      <c r="F26" s="20">
        <v>57117.617</v>
      </c>
      <c r="G26" s="58"/>
      <c r="H26" s="11"/>
      <c r="I26" s="57"/>
      <c r="J26" s="20">
        <v>7564.621</v>
      </c>
      <c r="K26" s="58"/>
      <c r="L26" s="11"/>
    </row>
    <row r="27" spans="2:12" s="48" customFormat="1" ht="15">
      <c r="B27" s="11"/>
      <c r="C27" s="11" t="s">
        <v>6</v>
      </c>
      <c r="D27" s="11"/>
      <c r="E27" s="57"/>
      <c r="F27" s="20">
        <v>73917.574</v>
      </c>
      <c r="G27" s="58"/>
      <c r="H27" s="11"/>
      <c r="I27" s="57"/>
      <c r="J27" s="20">
        <v>38442.655</v>
      </c>
      <c r="K27" s="58"/>
      <c r="L27" s="11"/>
    </row>
    <row r="28" spans="2:12" s="48" customFormat="1" ht="15">
      <c r="B28" s="11"/>
      <c r="C28" s="11"/>
      <c r="D28" s="11"/>
      <c r="E28" s="57"/>
      <c r="F28" s="59">
        <f>SUM(F19:F27)</f>
        <v>300779.839</v>
      </c>
      <c r="G28" s="58"/>
      <c r="H28" s="11"/>
      <c r="I28" s="57"/>
      <c r="J28" s="59">
        <f>SUM(J19:J27)</f>
        <v>203255.32084180875</v>
      </c>
      <c r="K28" s="58"/>
      <c r="L28" s="11"/>
    </row>
    <row r="29" spans="2:12" s="48" customFormat="1" ht="15">
      <c r="B29" s="11"/>
      <c r="C29" s="11"/>
      <c r="D29" s="11"/>
      <c r="E29" s="57"/>
      <c r="F29" s="68"/>
      <c r="G29" s="58"/>
      <c r="H29" s="11"/>
      <c r="I29" s="57"/>
      <c r="J29" s="20"/>
      <c r="K29" s="58"/>
      <c r="L29" s="11"/>
    </row>
    <row r="30" spans="2:12" s="48" customFormat="1" ht="15">
      <c r="B30" s="11" t="s">
        <v>50</v>
      </c>
      <c r="C30" s="11"/>
      <c r="D30" s="11"/>
      <c r="E30" s="57"/>
      <c r="F30" s="68"/>
      <c r="G30" s="58"/>
      <c r="H30" s="11"/>
      <c r="I30" s="57"/>
      <c r="J30" s="20"/>
      <c r="K30" s="58"/>
      <c r="L30" s="11"/>
    </row>
    <row r="31" spans="2:12" s="48" customFormat="1" ht="15">
      <c r="B31" s="11"/>
      <c r="C31" s="11" t="s">
        <v>51</v>
      </c>
      <c r="D31" s="11"/>
      <c r="E31" s="57"/>
      <c r="F31" s="20">
        <v>1004.623030000031</v>
      </c>
      <c r="G31" s="58"/>
      <c r="H31" s="11"/>
      <c r="I31" s="57"/>
      <c r="J31" s="20">
        <v>2581.913</v>
      </c>
      <c r="K31" s="58"/>
      <c r="L31" s="11"/>
    </row>
    <row r="32" spans="2:12" s="48" customFormat="1" ht="15">
      <c r="B32" s="11"/>
      <c r="C32" s="11" t="s">
        <v>52</v>
      </c>
      <c r="D32" s="11"/>
      <c r="E32" s="57"/>
      <c r="F32" s="20">
        <v>35752.22</v>
      </c>
      <c r="G32" s="58"/>
      <c r="H32" s="11"/>
      <c r="I32" s="57"/>
      <c r="J32" s="20">
        <v>28529.362</v>
      </c>
      <c r="K32" s="58"/>
      <c r="L32" s="11"/>
    </row>
    <row r="33" spans="2:12" s="48" customFormat="1" ht="15">
      <c r="B33" s="11"/>
      <c r="C33" s="11" t="s">
        <v>53</v>
      </c>
      <c r="D33" s="11"/>
      <c r="E33" s="57"/>
      <c r="F33" s="148">
        <f>14183.96938+8624</f>
        <v>22807.969380000002</v>
      </c>
      <c r="G33" s="58"/>
      <c r="H33" s="11"/>
      <c r="I33" s="57"/>
      <c r="J33" s="20">
        <v>16785.275</v>
      </c>
      <c r="K33" s="58"/>
      <c r="L33" s="11"/>
    </row>
    <row r="34" spans="2:12" s="48" customFormat="1" ht="15" hidden="1">
      <c r="B34" s="11"/>
      <c r="C34" s="11"/>
      <c r="D34" s="11"/>
      <c r="E34" s="57"/>
      <c r="F34" s="103">
        <v>0</v>
      </c>
      <c r="G34" s="58"/>
      <c r="H34" s="11"/>
      <c r="I34" s="57"/>
      <c r="J34" s="20"/>
      <c r="K34" s="58"/>
      <c r="L34" s="11"/>
    </row>
    <row r="35" spans="2:12" s="48" customFormat="1" ht="15" hidden="1">
      <c r="B35" s="11"/>
      <c r="C35" s="11"/>
      <c r="D35" s="11"/>
      <c r="E35" s="57"/>
      <c r="F35" s="103">
        <v>0</v>
      </c>
      <c r="G35" s="58"/>
      <c r="H35" s="11"/>
      <c r="I35" s="57"/>
      <c r="J35" s="20"/>
      <c r="K35" s="58"/>
      <c r="L35" s="11"/>
    </row>
    <row r="36" spans="2:12" s="48" customFormat="1" ht="15">
      <c r="B36" s="11"/>
      <c r="C36" s="11" t="s">
        <v>54</v>
      </c>
      <c r="D36" s="11"/>
      <c r="E36" s="57"/>
      <c r="F36" s="103">
        <v>1209.29</v>
      </c>
      <c r="G36" s="58"/>
      <c r="H36" s="11"/>
      <c r="I36" s="57"/>
      <c r="J36" s="20">
        <v>571.88</v>
      </c>
      <c r="K36" s="58"/>
      <c r="L36" s="11"/>
    </row>
    <row r="37" spans="2:12" s="48" customFormat="1" ht="15">
      <c r="B37" s="11"/>
      <c r="C37" s="11" t="s">
        <v>55</v>
      </c>
      <c r="D37" s="11"/>
      <c r="E37" s="57"/>
      <c r="F37" s="103">
        <f>52.729+1750-53</f>
        <v>1749.729</v>
      </c>
      <c r="G37" s="58"/>
      <c r="H37" s="11"/>
      <c r="I37" s="57"/>
      <c r="J37" s="20">
        <v>54964.54</v>
      </c>
      <c r="K37" s="58"/>
      <c r="L37" s="11"/>
    </row>
    <row r="38" spans="2:12" s="48" customFormat="1" ht="15">
      <c r="B38" s="11"/>
      <c r="C38" s="11" t="s">
        <v>102</v>
      </c>
      <c r="D38" s="11"/>
      <c r="E38" s="57"/>
      <c r="F38" s="103">
        <v>30000</v>
      </c>
      <c r="G38" s="58"/>
      <c r="H38" s="11"/>
      <c r="I38" s="57"/>
      <c r="J38" s="20">
        <v>0</v>
      </c>
      <c r="K38" s="58"/>
      <c r="L38" s="11"/>
    </row>
    <row r="39" spans="2:12" s="48" customFormat="1" ht="15">
      <c r="B39" s="11"/>
      <c r="C39" s="11" t="s">
        <v>56</v>
      </c>
      <c r="D39" s="11"/>
      <c r="E39" s="57"/>
      <c r="F39" s="20">
        <f>4690.099-774</f>
        <v>3916.099</v>
      </c>
      <c r="G39" s="58"/>
      <c r="H39" s="11"/>
      <c r="I39" s="57"/>
      <c r="J39" s="20">
        <v>5415.159</v>
      </c>
      <c r="K39" s="58"/>
      <c r="L39" s="11"/>
    </row>
    <row r="40" spans="2:12" s="48" customFormat="1" ht="15">
      <c r="B40" s="11"/>
      <c r="C40" s="11" t="s">
        <v>81</v>
      </c>
      <c r="D40" s="11"/>
      <c r="E40" s="57"/>
      <c r="F40" s="20">
        <v>0</v>
      </c>
      <c r="G40" s="58"/>
      <c r="H40" s="11"/>
      <c r="I40" s="57"/>
      <c r="J40" s="20">
        <v>3240</v>
      </c>
      <c r="K40" s="58"/>
      <c r="L40" s="11"/>
    </row>
    <row r="41" spans="2:12" s="48" customFormat="1" ht="15">
      <c r="B41" s="11"/>
      <c r="C41" s="11"/>
      <c r="D41" s="11"/>
      <c r="E41" s="57"/>
      <c r="F41" s="59">
        <f>SUM(F31:F40)</f>
        <v>96439.93041000004</v>
      </c>
      <c r="G41" s="58"/>
      <c r="H41" s="11"/>
      <c r="I41" s="57"/>
      <c r="J41" s="59">
        <f>SUM(J31:J40)</f>
        <v>112088.129</v>
      </c>
      <c r="K41" s="58"/>
      <c r="L41" s="11"/>
    </row>
    <row r="42" spans="2:12" s="48" customFormat="1" ht="15">
      <c r="B42" s="11"/>
      <c r="C42" s="11"/>
      <c r="D42" s="11"/>
      <c r="E42" s="60"/>
      <c r="F42" s="61"/>
      <c r="G42" s="62"/>
      <c r="H42" s="11"/>
      <c r="I42" s="60"/>
      <c r="J42" s="61"/>
      <c r="K42" s="62"/>
      <c r="L42" s="11"/>
    </row>
    <row r="43" spans="2:12" s="48" customFormat="1" ht="15">
      <c r="B43" s="11"/>
      <c r="C43" s="11"/>
      <c r="D43" s="11"/>
      <c r="E43" s="13"/>
      <c r="F43" s="20"/>
      <c r="G43" s="20"/>
      <c r="H43" s="11"/>
      <c r="I43" s="13"/>
      <c r="J43" s="20"/>
      <c r="K43" s="20"/>
      <c r="L43" s="11"/>
    </row>
    <row r="44" spans="2:12" s="48" customFormat="1" ht="15">
      <c r="B44" s="11" t="s">
        <v>57</v>
      </c>
      <c r="C44" s="11"/>
      <c r="D44" s="11"/>
      <c r="E44" s="11"/>
      <c r="F44" s="22">
        <f>F28-F41</f>
        <v>204339.90858999995</v>
      </c>
      <c r="G44" s="22"/>
      <c r="H44" s="11"/>
      <c r="I44" s="11"/>
      <c r="J44" s="22">
        <f>J28-J41</f>
        <v>91167.19184180874</v>
      </c>
      <c r="K44" s="22"/>
      <c r="L44" s="11"/>
    </row>
    <row r="45" spans="2:12" s="48" customFormat="1" ht="15">
      <c r="B45" s="11"/>
      <c r="C45" s="11"/>
      <c r="D45" s="11"/>
      <c r="E45" s="11"/>
      <c r="F45" s="22"/>
      <c r="G45" s="22"/>
      <c r="H45" s="11"/>
      <c r="I45" s="11"/>
      <c r="J45" s="22"/>
      <c r="K45" s="22"/>
      <c r="L45" s="11"/>
    </row>
    <row r="46" spans="2:12" s="48" customFormat="1" ht="15.75" thickBot="1">
      <c r="B46" s="11"/>
      <c r="C46" s="11"/>
      <c r="D46" s="11"/>
      <c r="E46" s="11"/>
      <c r="F46" s="63">
        <f>SUM(F10:F16)+F44</f>
        <v>485458.8322138888</v>
      </c>
      <c r="G46" s="22"/>
      <c r="H46" s="11"/>
      <c r="I46" s="11"/>
      <c r="J46" s="63">
        <f>SUM(J10:J15)+J44</f>
        <v>373845.67636903096</v>
      </c>
      <c r="K46" s="22"/>
      <c r="L46" s="11"/>
    </row>
    <row r="47" spans="2:12" s="48" customFormat="1" ht="15.75" hidden="1" thickTop="1">
      <c r="B47" s="11"/>
      <c r="C47" s="11"/>
      <c r="D47" s="11"/>
      <c r="E47" s="11"/>
      <c r="F47" s="20"/>
      <c r="G47" s="22"/>
      <c r="H47" s="11"/>
      <c r="I47" s="11"/>
      <c r="J47" s="20"/>
      <c r="K47" s="22"/>
      <c r="L47" s="11"/>
    </row>
    <row r="48" spans="2:12" s="48" customFormat="1" ht="15" hidden="1">
      <c r="B48" s="11"/>
      <c r="C48" s="11"/>
      <c r="D48" s="11"/>
      <c r="E48" s="11"/>
      <c r="F48" s="22"/>
      <c r="G48" s="22"/>
      <c r="H48" s="11"/>
      <c r="I48" s="11"/>
      <c r="J48" s="22"/>
      <c r="K48" s="22"/>
      <c r="L48" s="11"/>
    </row>
    <row r="49" spans="2:12" s="48" customFormat="1" ht="15.75" thickTop="1">
      <c r="B49" s="11" t="s">
        <v>80</v>
      </c>
      <c r="C49" s="11"/>
      <c r="D49" s="11"/>
      <c r="E49" s="11"/>
      <c r="F49" s="22"/>
      <c r="G49" s="22"/>
      <c r="H49" s="11"/>
      <c r="I49" s="11"/>
      <c r="J49" s="22"/>
      <c r="K49" s="22"/>
      <c r="L49" s="11"/>
    </row>
    <row r="50" spans="2:12" s="48" customFormat="1" ht="15">
      <c r="B50" s="11" t="s">
        <v>59</v>
      </c>
      <c r="C50" s="11"/>
      <c r="D50" s="11"/>
      <c r="E50" s="11"/>
      <c r="F50" s="20">
        <v>216624.75</v>
      </c>
      <c r="G50" s="22"/>
      <c r="H50" s="11"/>
      <c r="I50" s="11"/>
      <c r="J50" s="20">
        <v>150000</v>
      </c>
      <c r="K50" s="22"/>
      <c r="L50" s="11"/>
    </row>
    <row r="51" spans="2:12" s="48" customFormat="1" ht="15">
      <c r="B51" s="11" t="s">
        <v>79</v>
      </c>
      <c r="C51" s="11"/>
      <c r="D51" s="11"/>
      <c r="E51" s="11"/>
      <c r="F51" s="61">
        <f>115002.772992311+774</f>
        <v>115776.772992311</v>
      </c>
      <c r="G51" s="22"/>
      <c r="H51" s="11"/>
      <c r="I51" s="11"/>
      <c r="J51" s="138">
        <f>113778.376395537</f>
        <v>113778.376395537</v>
      </c>
      <c r="K51" s="22"/>
      <c r="L51" s="11"/>
    </row>
    <row r="52" spans="2:12" s="48" customFormat="1" ht="15">
      <c r="B52" s="11" t="s">
        <v>58</v>
      </c>
      <c r="C52" s="11"/>
      <c r="D52" s="11"/>
      <c r="E52" s="11"/>
      <c r="F52" s="22">
        <f>F50+F51</f>
        <v>332401.522992311</v>
      </c>
      <c r="G52" s="22"/>
      <c r="H52" s="11"/>
      <c r="I52" s="11"/>
      <c r="J52" s="71">
        <f>J50+J51</f>
        <v>263778.376395537</v>
      </c>
      <c r="K52" s="22"/>
      <c r="L52" s="11"/>
    </row>
    <row r="53" spans="2:12" s="48" customFormat="1" ht="8.25" customHeight="1">
      <c r="B53" s="11"/>
      <c r="C53" s="11"/>
      <c r="D53" s="11"/>
      <c r="E53" s="11"/>
      <c r="F53" s="22"/>
      <c r="G53" s="22"/>
      <c r="H53" s="11"/>
      <c r="I53" s="11"/>
      <c r="J53" s="71"/>
      <c r="K53" s="22"/>
      <c r="L53" s="11"/>
    </row>
    <row r="54" spans="2:12" s="48" customFormat="1" ht="15">
      <c r="B54" s="11" t="s">
        <v>60</v>
      </c>
      <c r="C54" s="11"/>
      <c r="D54" s="11"/>
      <c r="E54" s="11"/>
      <c r="F54" s="20">
        <v>14100.097338285714</v>
      </c>
      <c r="G54" s="22"/>
      <c r="H54" s="11"/>
      <c r="I54" s="11"/>
      <c r="J54" s="103">
        <v>13691.574273494287</v>
      </c>
      <c r="K54" s="22"/>
      <c r="L54" s="11"/>
    </row>
    <row r="55" spans="2:12" s="48" customFormat="1" ht="9" customHeight="1">
      <c r="B55" s="11"/>
      <c r="C55" s="11"/>
      <c r="D55" s="11"/>
      <c r="E55" s="11"/>
      <c r="F55" s="20"/>
      <c r="G55" s="22"/>
      <c r="H55" s="11"/>
      <c r="I55" s="11"/>
      <c r="J55" s="103"/>
      <c r="K55" s="22"/>
      <c r="L55" s="11"/>
    </row>
    <row r="56" spans="2:12" s="48" customFormat="1" ht="15">
      <c r="B56" s="11" t="s">
        <v>103</v>
      </c>
      <c r="C56" s="11"/>
      <c r="D56" s="11"/>
      <c r="E56" s="11"/>
      <c r="F56" s="20"/>
      <c r="G56" s="22"/>
      <c r="H56" s="11"/>
      <c r="I56" s="11"/>
      <c r="J56" s="103"/>
      <c r="K56" s="22"/>
      <c r="L56" s="11"/>
    </row>
    <row r="57" spans="3:12" s="48" customFormat="1" ht="15">
      <c r="C57" s="11" t="s">
        <v>104</v>
      </c>
      <c r="D57" s="11"/>
      <c r="E57" s="11"/>
      <c r="F57" s="20">
        <v>2999.91</v>
      </c>
      <c r="G57" s="22"/>
      <c r="H57" s="11"/>
      <c r="I57" s="11"/>
      <c r="J57" s="103">
        <v>2040.601</v>
      </c>
      <c r="K57" s="22"/>
      <c r="L57" s="11"/>
    </row>
    <row r="58" spans="3:12" s="48" customFormat="1" ht="15">
      <c r="C58" s="11" t="s">
        <v>105</v>
      </c>
      <c r="D58" s="11"/>
      <c r="E58" s="11"/>
      <c r="F58" s="20">
        <v>29474.2</v>
      </c>
      <c r="G58" s="22"/>
      <c r="H58" s="11"/>
      <c r="I58" s="11"/>
      <c r="J58" s="103">
        <v>94182.826</v>
      </c>
      <c r="K58" s="22"/>
      <c r="L58" s="11"/>
    </row>
    <row r="59" spans="3:12" s="48" customFormat="1" ht="15">
      <c r="C59" s="11" t="s">
        <v>102</v>
      </c>
      <c r="D59" s="11"/>
      <c r="E59" s="11"/>
      <c r="F59" s="20">
        <v>105000</v>
      </c>
      <c r="G59" s="22"/>
      <c r="H59" s="11"/>
      <c r="I59" s="11"/>
      <c r="J59" s="103">
        <v>0</v>
      </c>
      <c r="K59" s="22"/>
      <c r="L59" s="11"/>
    </row>
    <row r="60" spans="3:12" s="48" customFormat="1" ht="15">
      <c r="C60" s="11" t="s">
        <v>106</v>
      </c>
      <c r="D60" s="11"/>
      <c r="E60" s="11"/>
      <c r="F60" s="20">
        <v>1483.126</v>
      </c>
      <c r="G60" s="22"/>
      <c r="H60" s="11"/>
      <c r="I60" s="11"/>
      <c r="J60" s="103">
        <v>152.2</v>
      </c>
      <c r="K60" s="22"/>
      <c r="L60" s="11"/>
    </row>
    <row r="61" spans="2:12" s="48" customFormat="1" ht="15">
      <c r="B61" s="11"/>
      <c r="C61" s="11"/>
      <c r="D61" s="11"/>
      <c r="E61" s="11"/>
      <c r="F61" s="22"/>
      <c r="G61" s="22"/>
      <c r="H61" s="11"/>
      <c r="I61" s="11"/>
      <c r="J61" s="22"/>
      <c r="K61" s="22"/>
      <c r="L61" s="11"/>
    </row>
    <row r="62" spans="2:12" s="48" customFormat="1" ht="15.75" thickBot="1">
      <c r="B62" s="11"/>
      <c r="C62" s="11"/>
      <c r="D62" s="11"/>
      <c r="E62" s="11"/>
      <c r="F62" s="63">
        <f>SUM(F52:F60)</f>
        <v>485458.85633059667</v>
      </c>
      <c r="G62" s="22"/>
      <c r="H62" s="11"/>
      <c r="I62" s="11"/>
      <c r="J62" s="63">
        <f>SUM(J52:J60)+1</f>
        <v>373846.57766903134</v>
      </c>
      <c r="K62" s="22"/>
      <c r="L62" s="11"/>
    </row>
    <row r="63" spans="2:12" s="48" customFormat="1" ht="15.75" thickTop="1">
      <c r="B63" s="11"/>
      <c r="C63" s="11"/>
      <c r="D63" s="11"/>
      <c r="E63" s="11"/>
      <c r="F63" s="22"/>
      <c r="G63" s="22"/>
      <c r="H63" s="11"/>
      <c r="I63" s="11"/>
      <c r="J63" s="22"/>
      <c r="K63" s="22"/>
      <c r="L63" s="11"/>
    </row>
    <row r="64" spans="2:12" s="48" customFormat="1" ht="15.75" thickBot="1">
      <c r="B64" s="11" t="s">
        <v>61</v>
      </c>
      <c r="C64" s="11"/>
      <c r="D64" s="11"/>
      <c r="E64" s="11"/>
      <c r="F64" s="132">
        <f>(F52-F14)/F50</f>
        <v>1.5065836428461858</v>
      </c>
      <c r="G64" s="22"/>
      <c r="H64" s="11"/>
      <c r="I64" s="11"/>
      <c r="J64" s="64">
        <f>(J52-J14)/(J50+49500)</f>
        <v>1.3162670148147217</v>
      </c>
      <c r="K64" t="s">
        <v>134</v>
      </c>
      <c r="L64" s="11"/>
    </row>
    <row r="65" spans="2:12" s="48" customFormat="1" ht="15.75" thickTop="1">
      <c r="B65" s="11"/>
      <c r="C65" s="11"/>
      <c r="D65" s="11"/>
      <c r="E65" s="11"/>
      <c r="F65" s="68"/>
      <c r="G65" s="22"/>
      <c r="H65" s="11"/>
      <c r="I65" s="11"/>
      <c r="J65" s="68"/>
      <c r="K65" s="11"/>
      <c r="L65" s="11"/>
    </row>
    <row r="66" spans="2:12" s="48" customFormat="1" ht="15">
      <c r="B66" s="11"/>
      <c r="C66" s="139" t="s">
        <v>131</v>
      </c>
      <c r="D66" s="11"/>
      <c r="E66" s="11"/>
      <c r="F66" s="68"/>
      <c r="G66" s="22"/>
      <c r="H66" s="11"/>
      <c r="I66" s="11"/>
      <c r="J66" s="68"/>
      <c r="K66" s="11"/>
      <c r="L66" s="11"/>
    </row>
    <row r="67" spans="2:12" s="48" customFormat="1" ht="15">
      <c r="B67" s="11"/>
      <c r="C67" s="139" t="s">
        <v>137</v>
      </c>
      <c r="D67" s="11"/>
      <c r="E67" s="11"/>
      <c r="F67" s="22"/>
      <c r="G67" s="22"/>
      <c r="H67" s="11"/>
      <c r="I67" s="11"/>
      <c r="J67" s="22"/>
      <c r="K67" s="11"/>
      <c r="L67" s="11"/>
    </row>
    <row r="68" spans="2:12" s="48" customFormat="1" ht="15">
      <c r="B68" s="11"/>
      <c r="C68" s="139"/>
      <c r="D68" s="11"/>
      <c r="E68" s="11"/>
      <c r="F68" s="22"/>
      <c r="G68" s="22"/>
      <c r="H68" s="11"/>
      <c r="I68" s="11"/>
      <c r="J68" s="22"/>
      <c r="K68" s="11"/>
      <c r="L68" s="11"/>
    </row>
    <row r="69" spans="2:12" s="48" customFormat="1" ht="30" customHeight="1">
      <c r="B69" s="157" t="s">
        <v>94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1"/>
    </row>
  </sheetData>
  <mergeCells count="2">
    <mergeCell ref="B1:J1"/>
    <mergeCell ref="B69:K69"/>
  </mergeCells>
  <printOptions/>
  <pageMargins left="1" right="0.5" top="0.49" bottom="0.6" header="0.42" footer="0.43"/>
  <pageSetup firstPageNumber="2" useFirstPageNumber="1" fitToHeight="1" fitToWidth="1" horizontalDpi="600" verticalDpi="600" orientation="portrait" paperSize="9" scale="80" r:id="rId1"/>
  <headerFooter alignWithMargins="0">
    <oddFooter>&amp;R
&amp;"Times New Roman,Italic"&amp;12Page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workbookViewId="0" topLeftCell="C14">
      <selection activeCell="I28" sqref="I28"/>
    </sheetView>
  </sheetViews>
  <sheetFormatPr defaultColWidth="9.140625" defaultRowHeight="12.75"/>
  <cols>
    <col min="1" max="1" width="3.28125" style="65" customWidth="1"/>
    <col min="2" max="2" width="44.28125" style="65" customWidth="1"/>
    <col min="3" max="3" width="10.28125" style="65" customWidth="1"/>
    <col min="4" max="4" width="0.5625" style="65" customWidth="1"/>
    <col min="5" max="5" width="9.8515625" style="10" customWidth="1"/>
    <col min="6" max="6" width="0.5625" style="65" customWidth="1"/>
    <col min="7" max="7" width="11.421875" style="66" bestFit="1" customWidth="1"/>
    <col min="8" max="8" width="0.5625" style="66" customWidth="1"/>
    <col min="9" max="9" width="11.7109375" style="66" bestFit="1" customWidth="1"/>
    <col min="10" max="10" width="0.5625" style="66" customWidth="1"/>
    <col min="11" max="11" width="11.57421875" style="65" bestFit="1" customWidth="1"/>
    <col min="12" max="12" width="0.85546875" style="65" customWidth="1"/>
    <col min="13" max="13" width="11.57421875" style="65" customWidth="1"/>
    <col min="14" max="14" width="0.9921875" style="65" hidden="1" customWidth="1"/>
  </cols>
  <sheetData>
    <row r="1" spans="1:14" ht="24.75" customHeight="1">
      <c r="A1" s="150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2"/>
      <c r="L1"/>
      <c r="M1"/>
      <c r="N1"/>
    </row>
    <row r="2" spans="1:14" ht="21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2"/>
      <c r="L2"/>
      <c r="M2"/>
      <c r="N2"/>
    </row>
    <row r="3" spans="1:11" s="48" customFormat="1" ht="14.25">
      <c r="A3" s="3" t="s">
        <v>74</v>
      </c>
      <c r="B3" s="3"/>
      <c r="C3" s="3"/>
      <c r="D3" s="3"/>
      <c r="E3" s="3"/>
      <c r="F3" s="51"/>
      <c r="G3" s="51"/>
      <c r="H3" s="51"/>
      <c r="I3" s="3"/>
      <c r="J3" s="3"/>
      <c r="K3" s="3"/>
    </row>
    <row r="4" spans="1:14" s="48" customFormat="1" ht="15">
      <c r="A4" s="67" t="s">
        <v>115</v>
      </c>
      <c r="B4" s="67"/>
      <c r="C4" s="80"/>
      <c r="D4" s="80"/>
      <c r="E4" s="12"/>
      <c r="F4" s="80"/>
      <c r="G4" s="80"/>
      <c r="H4" s="80"/>
      <c r="I4" s="80"/>
      <c r="J4" s="80"/>
      <c r="K4" s="80"/>
      <c r="L4" s="80"/>
      <c r="M4" s="80"/>
      <c r="N4" s="80"/>
    </row>
    <row r="5" spans="1:14" s="48" customFormat="1" ht="15">
      <c r="A5" s="67"/>
      <c r="B5" s="67"/>
      <c r="C5" s="80"/>
      <c r="D5" s="80"/>
      <c r="E5" s="12"/>
      <c r="F5" s="80"/>
      <c r="G5" s="80"/>
      <c r="H5" s="80"/>
      <c r="I5" s="80"/>
      <c r="J5" s="80"/>
      <c r="K5" s="80"/>
      <c r="L5" s="80"/>
      <c r="M5" s="80"/>
      <c r="N5" s="80"/>
    </row>
    <row r="6" spans="1:14" s="48" customFormat="1" ht="15" hidden="1">
      <c r="A6" s="80"/>
      <c r="B6" s="80"/>
      <c r="C6" s="80"/>
      <c r="D6" s="80"/>
      <c r="E6" s="12"/>
      <c r="F6" s="80"/>
      <c r="G6" s="80"/>
      <c r="H6" s="80"/>
      <c r="I6" s="80"/>
      <c r="J6" s="80"/>
      <c r="K6" s="80"/>
      <c r="L6" s="80"/>
      <c r="M6" s="80"/>
      <c r="N6" s="80"/>
    </row>
    <row r="7" spans="1:14" s="48" customFormat="1" ht="15">
      <c r="A7" s="81"/>
      <c r="B7" s="81"/>
      <c r="C7" s="80"/>
      <c r="D7" s="80"/>
      <c r="E7" s="158" t="s">
        <v>111</v>
      </c>
      <c r="F7" s="158"/>
      <c r="G7" s="158"/>
      <c r="H7" s="158"/>
      <c r="I7" s="158"/>
      <c r="J7" s="82"/>
      <c r="K7" s="82" t="s">
        <v>63</v>
      </c>
      <c r="L7" s="82"/>
      <c r="M7" s="80"/>
      <c r="N7" s="80"/>
    </row>
    <row r="8" spans="1:14" s="48" customFormat="1" ht="15">
      <c r="A8" s="81"/>
      <c r="B8" s="81"/>
      <c r="C8" s="80"/>
      <c r="D8" s="80"/>
      <c r="E8" s="82"/>
      <c r="F8" s="82"/>
      <c r="G8" s="82"/>
      <c r="H8" s="82"/>
      <c r="I8" s="82"/>
      <c r="J8" s="82"/>
      <c r="K8" s="82"/>
      <c r="L8" s="80"/>
      <c r="M8" s="80"/>
      <c r="N8" s="80"/>
    </row>
    <row r="9" spans="1:14" s="48" customFormat="1" ht="15">
      <c r="A9" s="82"/>
      <c r="B9" s="82"/>
      <c r="C9" s="82" t="s">
        <v>64</v>
      </c>
      <c r="D9" s="82"/>
      <c r="E9" s="83" t="s">
        <v>64</v>
      </c>
      <c r="F9" s="82"/>
      <c r="G9" s="82" t="s">
        <v>65</v>
      </c>
      <c r="H9" s="82"/>
      <c r="I9" s="82" t="s">
        <v>66</v>
      </c>
      <c r="J9" s="82"/>
      <c r="K9" s="82" t="s">
        <v>67</v>
      </c>
      <c r="L9" s="82"/>
      <c r="M9" s="82"/>
      <c r="N9" s="82"/>
    </row>
    <row r="10" spans="1:14" s="48" customFormat="1" ht="15">
      <c r="A10" s="80"/>
      <c r="B10" s="80"/>
      <c r="C10" s="85" t="s">
        <v>68</v>
      </c>
      <c r="D10" s="86"/>
      <c r="E10" s="87" t="s">
        <v>69</v>
      </c>
      <c r="F10" s="86"/>
      <c r="G10" s="86" t="s">
        <v>70</v>
      </c>
      <c r="H10" s="86"/>
      <c r="I10" s="86" t="s">
        <v>71</v>
      </c>
      <c r="J10" s="86"/>
      <c r="K10" s="86" t="s">
        <v>72</v>
      </c>
      <c r="L10" s="88"/>
      <c r="M10" s="86" t="s">
        <v>21</v>
      </c>
      <c r="N10" s="82"/>
    </row>
    <row r="11" spans="1:14" s="48" customFormat="1" ht="15">
      <c r="A11" s="89"/>
      <c r="B11" s="89"/>
      <c r="C11" s="82" t="s">
        <v>1</v>
      </c>
      <c r="D11" s="82"/>
      <c r="E11" s="82" t="s">
        <v>1</v>
      </c>
      <c r="F11" s="82"/>
      <c r="G11" s="82" t="s">
        <v>1</v>
      </c>
      <c r="H11" s="80"/>
      <c r="I11" s="82" t="s">
        <v>1</v>
      </c>
      <c r="J11" s="80"/>
      <c r="K11" s="82" t="s">
        <v>1</v>
      </c>
      <c r="L11" s="80"/>
      <c r="M11" s="82" t="str">
        <f>+K11</f>
        <v>RM'000</v>
      </c>
      <c r="N11" s="80"/>
    </row>
    <row r="12" spans="1:14" s="48" customFormat="1" ht="15">
      <c r="A12" s="80"/>
      <c r="B12" s="80"/>
      <c r="C12" s="84"/>
      <c r="D12" s="84"/>
      <c r="E12" s="90"/>
      <c r="F12" s="84"/>
      <c r="G12" s="80"/>
      <c r="H12" s="80"/>
      <c r="I12" s="80"/>
      <c r="J12" s="80"/>
      <c r="K12" s="84"/>
      <c r="L12" s="80"/>
      <c r="M12" s="84"/>
      <c r="N12" s="80"/>
    </row>
    <row r="13" spans="1:14" s="48" customFormat="1" ht="15">
      <c r="A13" s="91" t="s">
        <v>97</v>
      </c>
      <c r="B13" s="91"/>
      <c r="C13" s="92">
        <v>150000</v>
      </c>
      <c r="D13" s="92"/>
      <c r="E13" s="93">
        <v>4508</v>
      </c>
      <c r="F13" s="92"/>
      <c r="G13" s="92">
        <v>17744</v>
      </c>
      <c r="H13" s="92"/>
      <c r="I13" s="92">
        <v>5615</v>
      </c>
      <c r="J13" s="92"/>
      <c r="K13" s="92">
        <v>85911</v>
      </c>
      <c r="L13" s="92"/>
      <c r="M13" s="92">
        <f>SUM(C13:L13)</f>
        <v>263778</v>
      </c>
      <c r="N13" s="94"/>
    </row>
    <row r="14" spans="1:14" s="48" customFormat="1" ht="15">
      <c r="A14" s="80"/>
      <c r="B14" s="80"/>
      <c r="C14" s="92"/>
      <c r="D14" s="92"/>
      <c r="E14" s="93"/>
      <c r="F14" s="92"/>
      <c r="G14" s="92"/>
      <c r="H14" s="92"/>
      <c r="I14" s="92"/>
      <c r="J14" s="92"/>
      <c r="K14" s="92"/>
      <c r="L14" s="92"/>
      <c r="M14" s="92"/>
      <c r="N14" s="94"/>
    </row>
    <row r="15" spans="1:14" s="48" customFormat="1" ht="15">
      <c r="A15" s="80" t="s">
        <v>123</v>
      </c>
      <c r="B15" s="80"/>
      <c r="C15" s="92"/>
      <c r="D15" s="92"/>
      <c r="E15" s="93"/>
      <c r="F15" s="92"/>
      <c r="G15" s="92"/>
      <c r="H15" s="92"/>
      <c r="I15" s="92"/>
      <c r="J15" s="92"/>
      <c r="K15" s="92"/>
      <c r="L15" s="92"/>
      <c r="M15" s="92"/>
      <c r="N15" s="94"/>
    </row>
    <row r="16" spans="1:14" s="48" customFormat="1" ht="15">
      <c r="A16" s="80"/>
      <c r="B16" s="80" t="s">
        <v>124</v>
      </c>
      <c r="C16" s="92">
        <v>15000</v>
      </c>
      <c r="D16" s="92"/>
      <c r="E16" s="93">
        <v>23557</v>
      </c>
      <c r="F16" s="92"/>
      <c r="G16" s="92">
        <v>0</v>
      </c>
      <c r="H16" s="92"/>
      <c r="I16" s="92">
        <v>0</v>
      </c>
      <c r="J16" s="92"/>
      <c r="K16" s="92">
        <v>0</v>
      </c>
      <c r="L16" s="92"/>
      <c r="M16" s="92">
        <f aca="true" t="shared" si="0" ref="M16:M23">SUM(C16:L16)</f>
        <v>38557</v>
      </c>
      <c r="N16" s="94"/>
    </row>
    <row r="17" spans="1:14" s="48" customFormat="1" ht="15">
      <c r="A17" s="80"/>
      <c r="B17" s="80" t="s">
        <v>125</v>
      </c>
      <c r="C17" s="92">
        <v>49500</v>
      </c>
      <c r="D17" s="92"/>
      <c r="E17" s="93">
        <v>0</v>
      </c>
      <c r="F17" s="92"/>
      <c r="G17" s="92">
        <v>0</v>
      </c>
      <c r="H17" s="92"/>
      <c r="I17" s="92">
        <v>0</v>
      </c>
      <c r="J17" s="92"/>
      <c r="K17" s="92">
        <v>-49500</v>
      </c>
      <c r="L17" s="92"/>
      <c r="M17" s="92">
        <f t="shared" si="0"/>
        <v>0</v>
      </c>
      <c r="N17" s="94"/>
    </row>
    <row r="18" spans="1:14" s="48" customFormat="1" ht="15">
      <c r="A18" s="80"/>
      <c r="B18" s="80" t="s">
        <v>126</v>
      </c>
      <c r="C18" s="92">
        <v>2125</v>
      </c>
      <c r="D18" s="92"/>
      <c r="E18" s="93">
        <v>806</v>
      </c>
      <c r="F18" s="92"/>
      <c r="G18" s="92"/>
      <c r="H18" s="92"/>
      <c r="I18" s="92"/>
      <c r="J18" s="92"/>
      <c r="K18" s="92"/>
      <c r="L18" s="92"/>
      <c r="M18" s="92">
        <f t="shared" si="0"/>
        <v>2931</v>
      </c>
      <c r="N18" s="94"/>
    </row>
    <row r="19" spans="1:14" s="48" customFormat="1" ht="15">
      <c r="A19" s="80" t="s">
        <v>133</v>
      </c>
      <c r="B19" s="80"/>
      <c r="C19" s="92">
        <v>0</v>
      </c>
      <c r="D19" s="92"/>
      <c r="E19" s="93">
        <v>0</v>
      </c>
      <c r="F19" s="92"/>
      <c r="G19" s="92">
        <f>-1776+547+1</f>
        <v>-1228</v>
      </c>
      <c r="H19" s="92"/>
      <c r="I19" s="92">
        <v>0</v>
      </c>
      <c r="J19" s="92"/>
      <c r="K19" s="92">
        <v>0</v>
      </c>
      <c r="L19" s="92"/>
      <c r="M19" s="92">
        <f t="shared" si="0"/>
        <v>-1228</v>
      </c>
      <c r="N19" s="94"/>
    </row>
    <row r="20" spans="1:14" s="48" customFormat="1" ht="15">
      <c r="A20" s="144" t="s">
        <v>140</v>
      </c>
      <c r="B20" s="144"/>
      <c r="C20" s="92"/>
      <c r="D20" s="92"/>
      <c r="E20" s="93"/>
      <c r="F20" s="92"/>
      <c r="G20" s="92"/>
      <c r="H20" s="92"/>
      <c r="I20" s="92"/>
      <c r="J20" s="92"/>
      <c r="K20" s="92"/>
      <c r="L20" s="92"/>
      <c r="M20" s="92"/>
      <c r="N20" s="94"/>
    </row>
    <row r="21" spans="1:14" s="48" customFormat="1" ht="15">
      <c r="A21" s="144"/>
      <c r="B21" s="144" t="s">
        <v>135</v>
      </c>
      <c r="C21" s="92">
        <v>0</v>
      </c>
      <c r="D21" s="92"/>
      <c r="E21" s="93">
        <v>0</v>
      </c>
      <c r="F21" s="92"/>
      <c r="G21" s="92">
        <f>-10402-547-1</f>
        <v>-10950</v>
      </c>
      <c r="H21" s="92"/>
      <c r="I21" s="92">
        <v>0</v>
      </c>
      <c r="J21" s="92"/>
      <c r="K21" s="92">
        <v>10950</v>
      </c>
      <c r="L21" s="92"/>
      <c r="M21" s="92">
        <f t="shared" si="0"/>
        <v>0</v>
      </c>
      <c r="N21" s="94"/>
    </row>
    <row r="22" spans="1:14" s="48" customFormat="1" ht="15">
      <c r="A22" s="12" t="s">
        <v>75</v>
      </c>
      <c r="B22" s="12"/>
      <c r="C22" s="92">
        <v>0</v>
      </c>
      <c r="D22" s="92"/>
      <c r="E22" s="93">
        <v>0</v>
      </c>
      <c r="F22" s="92"/>
      <c r="G22" s="92">
        <v>0</v>
      </c>
      <c r="H22" s="92"/>
      <c r="I22" s="92">
        <v>-281</v>
      </c>
      <c r="J22" s="92"/>
      <c r="K22" s="92">
        <v>0</v>
      </c>
      <c r="L22" s="92"/>
      <c r="M22" s="92">
        <f t="shared" si="0"/>
        <v>-281</v>
      </c>
      <c r="N22" s="94"/>
    </row>
    <row r="23" spans="1:14" s="48" customFormat="1" ht="15">
      <c r="A23" s="80" t="s">
        <v>73</v>
      </c>
      <c r="B23" s="80"/>
      <c r="C23" s="92">
        <v>0</v>
      </c>
      <c r="D23" s="92"/>
      <c r="E23" s="93">
        <v>0</v>
      </c>
      <c r="F23" s="92"/>
      <c r="G23" s="92">
        <v>0</v>
      </c>
      <c r="H23" s="92"/>
      <c r="I23" s="92">
        <v>0</v>
      </c>
      <c r="J23" s="92"/>
      <c r="K23" s="92">
        <f>49674-10950</f>
        <v>38724</v>
      </c>
      <c r="L23" s="92"/>
      <c r="M23" s="92">
        <f t="shared" si="0"/>
        <v>38724</v>
      </c>
      <c r="N23" s="94"/>
    </row>
    <row r="24" spans="1:14" s="48" customFormat="1" ht="15">
      <c r="A24" s="80" t="s">
        <v>93</v>
      </c>
      <c r="B24" s="80"/>
      <c r="C24" s="92"/>
      <c r="D24" s="92"/>
      <c r="E24" s="93"/>
      <c r="F24" s="92"/>
      <c r="G24" s="92"/>
      <c r="H24" s="92"/>
      <c r="I24" s="92"/>
      <c r="J24" s="92"/>
      <c r="K24" s="92"/>
      <c r="L24" s="92"/>
      <c r="M24" s="92"/>
      <c r="N24" s="94"/>
    </row>
    <row r="25" spans="1:14" s="48" customFormat="1" ht="15">
      <c r="A25" s="80"/>
      <c r="B25" s="80" t="s">
        <v>127</v>
      </c>
      <c r="C25" s="92">
        <v>0</v>
      </c>
      <c r="D25" s="92"/>
      <c r="E25" s="93">
        <v>0</v>
      </c>
      <c r="F25" s="92"/>
      <c r="G25" s="92">
        <v>0</v>
      </c>
      <c r="H25" s="92"/>
      <c r="I25" s="92">
        <v>0</v>
      </c>
      <c r="J25" s="92"/>
      <c r="K25" s="92">
        <v>-5400</v>
      </c>
      <c r="L25" s="92"/>
      <c r="M25" s="92">
        <f>SUM(C25:L25)</f>
        <v>-5400</v>
      </c>
      <c r="N25" s="94"/>
    </row>
    <row r="26" spans="1:14" s="48" customFormat="1" ht="15">
      <c r="A26" s="12"/>
      <c r="B26" s="12" t="s">
        <v>128</v>
      </c>
      <c r="C26" s="92">
        <v>0</v>
      </c>
      <c r="D26" s="92"/>
      <c r="E26" s="93">
        <v>0</v>
      </c>
      <c r="F26" s="92"/>
      <c r="G26" s="92">
        <v>0</v>
      </c>
      <c r="H26" s="92"/>
      <c r="I26" s="92">
        <v>0</v>
      </c>
      <c r="J26" s="92"/>
      <c r="K26" s="92">
        <v>-4679</v>
      </c>
      <c r="L26" s="92"/>
      <c r="M26" s="92">
        <f>SUM(C26:L26)</f>
        <v>-4679</v>
      </c>
      <c r="N26" s="94"/>
    </row>
    <row r="27" spans="1:14" s="48" customFormat="1" ht="15">
      <c r="A27" s="12"/>
      <c r="B27" s="12"/>
      <c r="C27" s="95"/>
      <c r="D27" s="95"/>
      <c r="E27" s="96"/>
      <c r="F27" s="95"/>
      <c r="G27" s="95"/>
      <c r="H27" s="95"/>
      <c r="I27" s="95"/>
      <c r="J27" s="95"/>
      <c r="K27" s="95"/>
      <c r="L27" s="95"/>
      <c r="M27" s="95"/>
      <c r="N27" s="94"/>
    </row>
    <row r="28" spans="1:14" s="48" customFormat="1" ht="15">
      <c r="A28" s="80"/>
      <c r="B28" s="80"/>
      <c r="C28" s="92"/>
      <c r="D28" s="92"/>
      <c r="E28" s="93"/>
      <c r="F28" s="92"/>
      <c r="G28" s="92"/>
      <c r="H28" s="92"/>
      <c r="I28" s="92"/>
      <c r="J28" s="92"/>
      <c r="K28" s="92"/>
      <c r="L28" s="92"/>
      <c r="M28" s="92"/>
      <c r="N28" s="94"/>
    </row>
    <row r="29" spans="1:14" s="143" customFormat="1" ht="15">
      <c r="A29" s="140" t="s">
        <v>116</v>
      </c>
      <c r="B29" s="140"/>
      <c r="C29" s="141">
        <f>SUM(C13:C26)</f>
        <v>216625</v>
      </c>
      <c r="D29" s="141"/>
      <c r="E29" s="141">
        <f>SUM(E13:E26)</f>
        <v>28871</v>
      </c>
      <c r="F29" s="141"/>
      <c r="G29" s="141">
        <f>SUM(G13:G26)</f>
        <v>5566</v>
      </c>
      <c r="H29" s="141"/>
      <c r="I29" s="141">
        <f>SUM(I13:I26)</f>
        <v>5334</v>
      </c>
      <c r="J29" s="141"/>
      <c r="K29" s="141">
        <f>SUM(K13:K26)</f>
        <v>76006</v>
      </c>
      <c r="L29" s="141"/>
      <c r="M29" s="141">
        <f>SUM(C29:L29)</f>
        <v>332402</v>
      </c>
      <c r="N29" s="142"/>
    </row>
    <row r="30" spans="1:14" s="48" customFormat="1" ht="15.75" thickBot="1">
      <c r="A30" s="80"/>
      <c r="B30" s="80"/>
      <c r="C30" s="97"/>
      <c r="D30" s="97"/>
      <c r="E30" s="98"/>
      <c r="F30" s="97"/>
      <c r="G30" s="97"/>
      <c r="H30" s="97"/>
      <c r="I30" s="97"/>
      <c r="J30" s="97"/>
      <c r="K30" s="97"/>
      <c r="L30" s="97"/>
      <c r="M30" s="97"/>
      <c r="N30" s="94"/>
    </row>
    <row r="31" spans="1:14" s="48" customFormat="1" ht="15.75" thickTop="1">
      <c r="A31" s="80"/>
      <c r="B31" s="80"/>
      <c r="C31" s="92"/>
      <c r="D31" s="92"/>
      <c r="E31" s="93"/>
      <c r="F31" s="92"/>
      <c r="G31" s="92"/>
      <c r="H31" s="92"/>
      <c r="I31" s="92"/>
      <c r="J31" s="92"/>
      <c r="K31" s="92"/>
      <c r="L31" s="92"/>
      <c r="M31" s="92"/>
      <c r="N31" s="94"/>
    </row>
    <row r="32" spans="1:14" s="48" customFormat="1" ht="15">
      <c r="A32" s="80"/>
      <c r="B32" s="80"/>
      <c r="C32" s="92"/>
      <c r="D32" s="92"/>
      <c r="E32" s="93"/>
      <c r="F32" s="92"/>
      <c r="G32" s="92"/>
      <c r="H32" s="92"/>
      <c r="I32" s="92"/>
      <c r="J32" s="92"/>
      <c r="K32" s="92"/>
      <c r="L32" s="92"/>
      <c r="M32" s="92"/>
      <c r="N32" s="94"/>
    </row>
    <row r="33" spans="1:14" s="48" customFormat="1" ht="15" hidden="1">
      <c r="A33" s="80"/>
      <c r="B33" s="80"/>
      <c r="C33" s="92"/>
      <c r="D33" s="92"/>
      <c r="E33" s="93"/>
      <c r="F33" s="92"/>
      <c r="G33" s="92"/>
      <c r="H33" s="92"/>
      <c r="I33" s="92"/>
      <c r="J33" s="92"/>
      <c r="K33" s="92"/>
      <c r="L33" s="92"/>
      <c r="M33" s="92"/>
      <c r="N33" s="94"/>
    </row>
    <row r="34" spans="1:14" s="48" customFormat="1" ht="15">
      <c r="A34" s="121" t="s">
        <v>99</v>
      </c>
      <c r="B34" s="121"/>
      <c r="C34" s="122">
        <v>150000</v>
      </c>
      <c r="D34" s="122"/>
      <c r="E34" s="123">
        <v>4508</v>
      </c>
      <c r="F34" s="122"/>
      <c r="G34" s="122">
        <v>17744</v>
      </c>
      <c r="H34" s="122"/>
      <c r="I34" s="122">
        <v>5895</v>
      </c>
      <c r="J34" s="122"/>
      <c r="K34" s="122">
        <f>59598+5400</f>
        <v>64998</v>
      </c>
      <c r="L34" s="122"/>
      <c r="M34" s="122">
        <f>SUM(C34:L34)</f>
        <v>243145</v>
      </c>
      <c r="N34" s="94"/>
    </row>
    <row r="35" spans="1:14" s="48" customFormat="1" ht="15">
      <c r="A35" s="124"/>
      <c r="B35" s="124"/>
      <c r="C35" s="122"/>
      <c r="D35" s="122"/>
      <c r="E35" s="123"/>
      <c r="F35" s="122"/>
      <c r="G35" s="122"/>
      <c r="H35" s="122"/>
      <c r="I35" s="122"/>
      <c r="J35" s="122"/>
      <c r="K35" s="122"/>
      <c r="L35" s="122"/>
      <c r="M35" s="122"/>
      <c r="N35" s="94"/>
    </row>
    <row r="36" spans="1:32" s="117" customFormat="1" ht="15">
      <c r="A36" s="125" t="s">
        <v>75</v>
      </c>
      <c r="B36" s="125"/>
      <c r="C36" s="122">
        <v>0</v>
      </c>
      <c r="D36" s="122"/>
      <c r="E36" s="123">
        <v>0</v>
      </c>
      <c r="F36" s="122"/>
      <c r="G36" s="122">
        <v>0</v>
      </c>
      <c r="H36" s="122"/>
      <c r="I36" s="122">
        <v>-280</v>
      </c>
      <c r="J36" s="122"/>
      <c r="K36" s="122">
        <v>0</v>
      </c>
      <c r="L36" s="122"/>
      <c r="M36" s="126">
        <f>SUM(C36:L36)</f>
        <v>-280</v>
      </c>
      <c r="N36" s="137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</row>
    <row r="37" spans="1:32" s="117" customFormat="1" ht="15">
      <c r="A37" s="124" t="s">
        <v>73</v>
      </c>
      <c r="B37" s="124"/>
      <c r="C37" s="122">
        <v>0</v>
      </c>
      <c r="D37" s="122"/>
      <c r="E37" s="123">
        <v>0</v>
      </c>
      <c r="F37" s="122"/>
      <c r="G37" s="122">
        <v>0</v>
      </c>
      <c r="H37" s="122"/>
      <c r="I37" s="122">
        <v>0</v>
      </c>
      <c r="J37" s="122"/>
      <c r="K37" s="122">
        <v>29553</v>
      </c>
      <c r="L37" s="122"/>
      <c r="M37" s="126">
        <f>SUM(C37:L37)</f>
        <v>29553</v>
      </c>
      <c r="N37" s="137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</row>
    <row r="38" spans="1:32" s="117" customFormat="1" ht="15">
      <c r="A38" s="125" t="s">
        <v>93</v>
      </c>
      <c r="B38" s="125"/>
      <c r="C38" s="127">
        <v>0</v>
      </c>
      <c r="D38" s="127"/>
      <c r="E38" s="128">
        <v>0</v>
      </c>
      <c r="F38" s="127"/>
      <c r="G38" s="127">
        <v>0</v>
      </c>
      <c r="H38" s="127"/>
      <c r="I38" s="127">
        <v>0</v>
      </c>
      <c r="J38" s="127"/>
      <c r="K38" s="127">
        <f>-5400-3240</f>
        <v>-8640</v>
      </c>
      <c r="L38" s="127"/>
      <c r="M38" s="127">
        <f>SUM(C38:L38)</f>
        <v>-8640</v>
      </c>
      <c r="N38" s="137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</row>
    <row r="39" spans="1:14" s="48" customFormat="1" ht="15">
      <c r="A39" s="124"/>
      <c r="B39" s="124"/>
      <c r="C39" s="122"/>
      <c r="D39" s="122"/>
      <c r="E39" s="123"/>
      <c r="F39" s="122"/>
      <c r="G39" s="122"/>
      <c r="H39" s="122"/>
      <c r="I39" s="122"/>
      <c r="J39" s="122"/>
      <c r="K39" s="122"/>
      <c r="L39" s="122"/>
      <c r="M39" s="122"/>
      <c r="N39" s="94"/>
    </row>
    <row r="40" spans="1:14" s="48" customFormat="1" ht="15">
      <c r="A40" s="121" t="s">
        <v>117</v>
      </c>
      <c r="B40" s="121"/>
      <c r="C40" s="122">
        <f>SUM(C34:C38)</f>
        <v>150000</v>
      </c>
      <c r="D40" s="122"/>
      <c r="E40" s="122">
        <f>SUM(E34:E38)</f>
        <v>4508</v>
      </c>
      <c r="F40" s="122"/>
      <c r="G40" s="122">
        <f>SUM(G34:G38)</f>
        <v>17744</v>
      </c>
      <c r="H40" s="122"/>
      <c r="I40" s="122">
        <f>SUM(I34:I38)</f>
        <v>5615</v>
      </c>
      <c r="J40" s="122"/>
      <c r="K40" s="122">
        <f>SUM(K34:K38)</f>
        <v>85911</v>
      </c>
      <c r="L40" s="122"/>
      <c r="M40" s="122">
        <f>SUM(M34:M38)</f>
        <v>263778</v>
      </c>
      <c r="N40" s="94"/>
    </row>
    <row r="41" spans="1:14" s="48" customFormat="1" ht="15.75" thickBot="1">
      <c r="A41" s="124"/>
      <c r="B41" s="124"/>
      <c r="C41" s="129"/>
      <c r="D41" s="129"/>
      <c r="E41" s="130"/>
      <c r="F41" s="129"/>
      <c r="G41" s="129"/>
      <c r="H41" s="129"/>
      <c r="I41" s="129"/>
      <c r="J41" s="129"/>
      <c r="K41" s="129"/>
      <c r="L41" s="129"/>
      <c r="M41" s="129"/>
      <c r="N41" s="94"/>
    </row>
    <row r="42" spans="1:14" s="48" customFormat="1" ht="15.75" thickTop="1">
      <c r="A42" s="80"/>
      <c r="B42" s="80"/>
      <c r="C42" s="92"/>
      <c r="D42" s="92"/>
      <c r="E42" s="93"/>
      <c r="F42" s="92"/>
      <c r="G42" s="92"/>
      <c r="H42" s="92"/>
      <c r="I42" s="92"/>
      <c r="J42" s="92"/>
      <c r="K42" s="92"/>
      <c r="L42" s="92"/>
      <c r="M42" s="92"/>
      <c r="N42" s="94"/>
    </row>
    <row r="43" spans="1:14" s="48" customFormat="1" ht="15" hidden="1">
      <c r="A43" s="80"/>
      <c r="B43" s="80"/>
      <c r="C43" s="92"/>
      <c r="D43" s="92"/>
      <c r="E43" s="93"/>
      <c r="F43" s="92"/>
      <c r="G43" s="92"/>
      <c r="H43" s="92"/>
      <c r="I43" s="92"/>
      <c r="J43" s="92"/>
      <c r="K43" s="92"/>
      <c r="L43" s="92"/>
      <c r="M43" s="92"/>
      <c r="N43" s="94"/>
    </row>
    <row r="44" spans="1:14" s="48" customFormat="1" ht="15" hidden="1">
      <c r="A44" s="7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94"/>
    </row>
    <row r="45" spans="1:14" s="48" customFormat="1" ht="15">
      <c r="A45" s="7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94"/>
    </row>
    <row r="46" spans="1:14" s="48" customFormat="1" ht="15" hidden="1">
      <c r="A46" s="99"/>
      <c r="B46" s="99"/>
      <c r="C46" s="80"/>
      <c r="D46" s="80"/>
      <c r="E46" s="12"/>
      <c r="F46" s="80"/>
      <c r="G46" s="82"/>
      <c r="H46" s="82"/>
      <c r="I46" s="82"/>
      <c r="J46" s="82"/>
      <c r="K46" s="80"/>
      <c r="L46" s="80"/>
      <c r="M46" s="80"/>
      <c r="N46" s="80"/>
    </row>
    <row r="47" spans="1:14" s="48" customFormat="1" ht="30.75" customHeight="1">
      <c r="A47" s="149" t="s">
        <v>110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80"/>
    </row>
  </sheetData>
  <mergeCells count="3">
    <mergeCell ref="A47:M47"/>
    <mergeCell ref="A1:J1"/>
    <mergeCell ref="E7:I7"/>
  </mergeCells>
  <printOptions/>
  <pageMargins left="1.14" right="0.75" top="0.7" bottom="0.53" header="0.53" footer="0.31"/>
  <pageSetup firstPageNumber="3" useFirstPageNumber="1" fitToHeight="1" fitToWidth="1" horizontalDpi="600" verticalDpi="600" orientation="landscape" paperSize="9" scale="78" r:id="rId2"/>
  <headerFooter alignWithMargins="0">
    <oddFooter>&amp;R&amp;"Times New Roman,Italic"&amp;11Page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workbookViewId="0" topLeftCell="A35">
      <selection activeCell="B48" sqref="B48"/>
    </sheetView>
  </sheetViews>
  <sheetFormatPr defaultColWidth="9.140625" defaultRowHeight="12.75"/>
  <cols>
    <col min="1" max="1" width="5.8515625" style="48" customWidth="1"/>
    <col min="2" max="2" width="53.28125" style="48" customWidth="1"/>
    <col min="3" max="3" width="13.421875" style="48" bestFit="1" customWidth="1"/>
    <col min="4" max="4" width="2.28125" style="0" customWidth="1"/>
    <col min="5" max="5" width="12.28125" style="109" customWidth="1"/>
  </cols>
  <sheetData>
    <row r="1" spans="1:3" ht="24" customHeight="1">
      <c r="A1" s="150" t="s">
        <v>62</v>
      </c>
      <c r="B1" s="150"/>
      <c r="C1" s="150"/>
    </row>
    <row r="2" spans="1:3" ht="15">
      <c r="A2" s="13"/>
      <c r="B2" s="13"/>
      <c r="C2" s="13"/>
    </row>
    <row r="3" spans="1:3" ht="15" hidden="1">
      <c r="A3" s="13"/>
      <c r="B3" s="13"/>
      <c r="C3" s="13"/>
    </row>
    <row r="4" spans="1:3" ht="15">
      <c r="A4" s="13"/>
      <c r="B4" s="13"/>
      <c r="C4" s="13"/>
    </row>
    <row r="5" spans="1:3" ht="15.75">
      <c r="A5" s="101" t="s">
        <v>84</v>
      </c>
      <c r="B5" s="3"/>
      <c r="C5" s="11"/>
    </row>
    <row r="6" ht="15.75">
      <c r="A6" s="101" t="s">
        <v>115</v>
      </c>
    </row>
    <row r="7" spans="1:3" ht="14.25">
      <c r="A7" s="69"/>
      <c r="B7" s="69"/>
      <c r="C7" s="70"/>
    </row>
    <row r="8" spans="1:5" ht="15">
      <c r="A8" s="3"/>
      <c r="B8" s="3"/>
      <c r="C8" s="16" t="s">
        <v>118</v>
      </c>
      <c r="E8" s="110" t="s">
        <v>118</v>
      </c>
    </row>
    <row r="9" spans="1:5" ht="15">
      <c r="A9" s="3"/>
      <c r="B9" s="3"/>
      <c r="C9" s="16" t="s">
        <v>92</v>
      </c>
      <c r="E9" s="110" t="s">
        <v>92</v>
      </c>
    </row>
    <row r="10" spans="1:5" ht="15">
      <c r="A10" s="3"/>
      <c r="B10" s="3"/>
      <c r="C10" s="108" t="s">
        <v>113</v>
      </c>
      <c r="E10" s="134" t="s">
        <v>91</v>
      </c>
    </row>
    <row r="11" spans="1:5" ht="15">
      <c r="A11" s="3"/>
      <c r="B11" s="3"/>
      <c r="C11" s="90" t="s">
        <v>1</v>
      </c>
      <c r="E11" s="133" t="s">
        <v>1</v>
      </c>
    </row>
    <row r="12" spans="1:5" ht="15">
      <c r="A12" s="3" t="s">
        <v>23</v>
      </c>
      <c r="B12" s="3"/>
      <c r="C12" s="71"/>
      <c r="E12" s="111"/>
    </row>
    <row r="13" spans="1:5" ht="15">
      <c r="A13" s="11" t="s">
        <v>12</v>
      </c>
      <c r="B13" s="11"/>
      <c r="C13" s="42">
        <f>66860-10950+1400</f>
        <v>57310</v>
      </c>
      <c r="E13" s="112">
        <v>43125</v>
      </c>
    </row>
    <row r="14" spans="1:5" ht="15">
      <c r="A14" s="11" t="s">
        <v>27</v>
      </c>
      <c r="B14" s="11"/>
      <c r="C14" s="42">
        <f>53427-66860+10950-1400</f>
        <v>-3883</v>
      </c>
      <c r="E14" s="112">
        <v>-421</v>
      </c>
    </row>
    <row r="15" spans="1:5" ht="15">
      <c r="A15" s="11" t="s">
        <v>16</v>
      </c>
      <c r="B15" s="11"/>
      <c r="C15" s="72">
        <f>SUM(C13:C14)</f>
        <v>53427</v>
      </c>
      <c r="E15" s="113">
        <f>SUM(E13:E14)</f>
        <v>42704</v>
      </c>
    </row>
    <row r="16" spans="1:5" ht="15">
      <c r="A16" s="11" t="s">
        <v>28</v>
      </c>
      <c r="B16" s="11"/>
      <c r="C16" s="73">
        <v>-35647</v>
      </c>
      <c r="E16" s="114">
        <v>1645</v>
      </c>
    </row>
    <row r="17" spans="1:5" ht="15">
      <c r="A17" s="74" t="s">
        <v>17</v>
      </c>
      <c r="B17" s="74"/>
      <c r="C17" s="72">
        <f>SUM(C15:C16)</f>
        <v>17780</v>
      </c>
      <c r="E17" s="113">
        <f>SUM(E15:E16)</f>
        <v>44349</v>
      </c>
    </row>
    <row r="18" spans="1:5" ht="15">
      <c r="A18" s="74" t="s">
        <v>24</v>
      </c>
      <c r="B18" s="74"/>
      <c r="C18" s="42">
        <v>-16685</v>
      </c>
      <c r="E18" s="112">
        <v>-11547</v>
      </c>
    </row>
    <row r="19" spans="1:5" ht="15">
      <c r="A19" s="75" t="s">
        <v>89</v>
      </c>
      <c r="B19" s="75"/>
      <c r="C19" s="76">
        <f>SUM(C17:C18)</f>
        <v>1095</v>
      </c>
      <c r="E19" s="115">
        <f>SUM(E17:E18)</f>
        <v>32802</v>
      </c>
    </row>
    <row r="20" spans="1:5" ht="15">
      <c r="A20" s="11"/>
      <c r="B20" s="11"/>
      <c r="C20" s="42"/>
      <c r="E20" s="112"/>
    </row>
    <row r="21" spans="1:5" ht="15">
      <c r="A21" s="3" t="s">
        <v>19</v>
      </c>
      <c r="B21" s="3"/>
      <c r="C21" s="42"/>
      <c r="E21" s="112"/>
    </row>
    <row r="22" spans="1:5" ht="15">
      <c r="A22" s="11" t="s">
        <v>107</v>
      </c>
      <c r="B22" s="3"/>
      <c r="C22" s="42">
        <v>-6270</v>
      </c>
      <c r="E22" s="112">
        <v>0</v>
      </c>
    </row>
    <row r="23" spans="1:5" ht="15">
      <c r="A23" s="11" t="s">
        <v>138</v>
      </c>
      <c r="B23" s="3"/>
      <c r="C23" s="42">
        <v>50000</v>
      </c>
      <c r="E23" s="112">
        <v>0</v>
      </c>
    </row>
    <row r="24" spans="1:5" ht="15">
      <c r="A24" s="74" t="s">
        <v>87</v>
      </c>
      <c r="B24" s="77"/>
      <c r="C24" s="42">
        <v>-1822</v>
      </c>
      <c r="E24" s="112">
        <v>-754</v>
      </c>
    </row>
    <row r="25" spans="1:5" ht="15">
      <c r="A25" s="74" t="s">
        <v>29</v>
      </c>
      <c r="B25" s="77"/>
      <c r="C25" s="42">
        <f>44785-C24-C22-C23</f>
        <v>2877</v>
      </c>
      <c r="E25" s="112">
        <v>2352</v>
      </c>
    </row>
    <row r="26" spans="1:5" ht="15" hidden="1">
      <c r="A26" s="74"/>
      <c r="B26" s="77"/>
      <c r="C26" s="42"/>
      <c r="E26" s="112"/>
    </row>
    <row r="27" spans="1:5" ht="14.25">
      <c r="A27" s="75" t="s">
        <v>85</v>
      </c>
      <c r="B27" s="3"/>
      <c r="C27" s="76">
        <f>SUM(C22:C26)</f>
        <v>44785</v>
      </c>
      <c r="E27" s="76">
        <f>SUM(E22:E26)</f>
        <v>1598</v>
      </c>
    </row>
    <row r="28" spans="1:3" ht="15">
      <c r="A28" s="11"/>
      <c r="B28" s="11"/>
      <c r="C28" s="42"/>
    </row>
    <row r="29" spans="1:5" ht="15">
      <c r="A29" s="3" t="s">
        <v>20</v>
      </c>
      <c r="B29" s="3"/>
      <c r="C29" s="42"/>
      <c r="E29" s="112"/>
    </row>
    <row r="30" spans="1:5" ht="15">
      <c r="A30" s="11" t="s">
        <v>139</v>
      </c>
      <c r="B30" s="3"/>
      <c r="C30" s="42">
        <f>38555+2932</f>
        <v>41487</v>
      </c>
      <c r="E30" s="112">
        <v>0</v>
      </c>
    </row>
    <row r="31" spans="1:5" ht="15">
      <c r="A31" s="11" t="s">
        <v>108</v>
      </c>
      <c r="B31" s="3"/>
      <c r="C31" s="42">
        <v>135000</v>
      </c>
      <c r="E31" s="112">
        <v>0</v>
      </c>
    </row>
    <row r="32" spans="1:5" ht="15">
      <c r="A32" s="74" t="s">
        <v>109</v>
      </c>
      <c r="B32" s="3"/>
      <c r="C32" s="42">
        <f>199825-135000</f>
        <v>64825</v>
      </c>
      <c r="E32" s="112">
        <v>24723</v>
      </c>
    </row>
    <row r="33" spans="1:5" ht="15">
      <c r="A33" s="74" t="s">
        <v>26</v>
      </c>
      <c r="B33" s="11"/>
      <c r="C33" s="42">
        <f>-144804-26100+1750-53</f>
        <v>-169207</v>
      </c>
      <c r="E33" s="112">
        <v>-34322</v>
      </c>
    </row>
    <row r="34" spans="1:5" ht="15">
      <c r="A34" s="74" t="s">
        <v>90</v>
      </c>
      <c r="B34" s="11"/>
      <c r="C34" s="42">
        <v>-13319</v>
      </c>
      <c r="E34" s="112">
        <v>-5400</v>
      </c>
    </row>
    <row r="35" spans="1:5" ht="15">
      <c r="A35" s="74" t="s">
        <v>29</v>
      </c>
      <c r="B35" s="3"/>
      <c r="C35" s="42">
        <f>-SUM(C30:C34)+53375-3415+1-3789</f>
        <v>-12614</v>
      </c>
      <c r="E35" s="112">
        <v>-3031</v>
      </c>
    </row>
    <row r="36" spans="1:5" ht="15">
      <c r="A36" s="75" t="s">
        <v>86</v>
      </c>
      <c r="B36" s="3"/>
      <c r="C36" s="76">
        <f>SUM(C30:C35)</f>
        <v>46172</v>
      </c>
      <c r="E36" s="115">
        <f>SUM(E30:E35)</f>
        <v>-18030</v>
      </c>
    </row>
    <row r="37" spans="1:5" ht="15">
      <c r="A37" s="11"/>
      <c r="B37" s="11"/>
      <c r="C37" s="42"/>
      <c r="E37" s="112"/>
    </row>
    <row r="38" spans="1:5" ht="15">
      <c r="A38" s="3" t="s">
        <v>18</v>
      </c>
      <c r="B38" s="3"/>
      <c r="C38" s="42">
        <f>C36+C27+C19</f>
        <v>92052</v>
      </c>
      <c r="E38" s="112">
        <f>E36+E27+E19</f>
        <v>16370</v>
      </c>
    </row>
    <row r="39" spans="1:5" ht="15">
      <c r="A39" s="3" t="s">
        <v>129</v>
      </c>
      <c r="B39" s="3"/>
      <c r="C39" s="42">
        <v>29257</v>
      </c>
      <c r="E39" s="112">
        <v>12887</v>
      </c>
    </row>
    <row r="40" spans="1:5" ht="15.75" thickBot="1">
      <c r="A40" s="3" t="s">
        <v>130</v>
      </c>
      <c r="B40" s="3"/>
      <c r="C40" s="78">
        <f>SUM(C38:C39)</f>
        <v>121309</v>
      </c>
      <c r="E40" s="116">
        <f>SUM(E38:E39)</f>
        <v>29257</v>
      </c>
    </row>
    <row r="41" ht="15" customHeight="1">
      <c r="E41" s="117"/>
    </row>
    <row r="42" ht="6" customHeight="1">
      <c r="E42" s="117"/>
    </row>
    <row r="43" spans="1:5" ht="15">
      <c r="A43" s="3" t="s">
        <v>101</v>
      </c>
      <c r="B43" s="11"/>
      <c r="C43" s="11"/>
      <c r="E43" s="118"/>
    </row>
    <row r="44" spans="1:5" ht="15">
      <c r="A44" s="11"/>
      <c r="B44" s="11" t="s">
        <v>6</v>
      </c>
      <c r="C44" s="22">
        <f>73918-3789</f>
        <v>70129</v>
      </c>
      <c r="E44" s="119">
        <v>38443</v>
      </c>
    </row>
    <row r="45" spans="1:5" ht="15">
      <c r="A45" s="11"/>
      <c r="B45" s="11" t="s">
        <v>98</v>
      </c>
      <c r="C45" s="22">
        <f>((129061548-3963588)/1000)-73918</f>
        <v>51179.96000000001</v>
      </c>
      <c r="E45" s="119">
        <v>4356</v>
      </c>
    </row>
    <row r="46" spans="1:5" ht="15">
      <c r="A46" s="11"/>
      <c r="B46" s="11" t="s">
        <v>88</v>
      </c>
      <c r="C46" s="22">
        <v>0</v>
      </c>
      <c r="E46" s="119">
        <v>-13542</v>
      </c>
    </row>
    <row r="47" spans="1:5" ht="15.75" thickBot="1">
      <c r="A47" s="11"/>
      <c r="B47" s="11"/>
      <c r="C47" s="102">
        <f>SUM(C44:C46)</f>
        <v>121308.96</v>
      </c>
      <c r="E47" s="120">
        <f>SUM(E44:E46)</f>
        <v>29257</v>
      </c>
    </row>
    <row r="48" ht="15">
      <c r="A48" s="11"/>
    </row>
    <row r="49" spans="1:3" ht="15" hidden="1">
      <c r="A49" s="11"/>
      <c r="B49" s="11"/>
      <c r="C49" s="103"/>
    </row>
    <row r="50" spans="1:3" ht="15" hidden="1">
      <c r="A50" s="106"/>
      <c r="B50" s="107"/>
      <c r="C50" s="103"/>
    </row>
    <row r="51" spans="2:3" ht="15">
      <c r="B51" s="107"/>
      <c r="C51" s="103"/>
    </row>
    <row r="52" ht="14.25" customHeight="1"/>
    <row r="53" spans="1:5" ht="29.25" customHeight="1">
      <c r="A53" s="149" t="s">
        <v>96</v>
      </c>
      <c r="B53" s="149"/>
      <c r="C53" s="149"/>
      <c r="D53" s="149"/>
      <c r="E53" s="149"/>
    </row>
  </sheetData>
  <mergeCells count="2">
    <mergeCell ref="A1:C1"/>
    <mergeCell ref="A53:E53"/>
  </mergeCells>
  <printOptions/>
  <pageMargins left="1" right="0.5" top="0.94" bottom="0.88" header="0.5" footer="0.5"/>
  <pageSetup firstPageNumber="4" useFirstPageNumber="1" fitToHeight="1" fitToWidth="1" horizontalDpi="600" verticalDpi="600" orientation="portrait" paperSize="9" scale="97" r:id="rId1"/>
  <headerFooter alignWithMargins="0">
    <oddFooter>&amp;R&amp;"Times New Roman,Italic"Page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GLOMAC BERHAD</cp:lastModifiedBy>
  <cp:lastPrinted>2004-08-05T01:57:29Z</cp:lastPrinted>
  <dcterms:created xsi:type="dcterms:W3CDTF">2002-11-28T03:19:13Z</dcterms:created>
  <dcterms:modified xsi:type="dcterms:W3CDTF">2004-08-12T07:33:42Z</dcterms:modified>
  <cp:category/>
  <cp:version/>
  <cp:contentType/>
  <cp:contentStatus/>
</cp:coreProperties>
</file>